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Quick Check" sheetId="2" state="visible" r:id="rId2"/>
    <sheet xmlns:r="http://schemas.openxmlformats.org/officeDocument/2006/relationships" name="By Platform" sheetId="3" state="visible" r:id="rId3"/>
    <sheet xmlns:r="http://schemas.openxmlformats.org/officeDocument/2006/relationships" name="Fee Rules" sheetId="4" state="visible" r:id="rId4"/>
    <sheet xmlns:r="http://schemas.openxmlformats.org/officeDocument/2006/relationships" name="Full Track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;[Red]-&quot;$&quot;#,##0.00;&quot;$&quot;0.00"/>
    <numFmt numFmtId="165" formatCode="yyyy-mm-dd"/>
    <numFmt numFmtId="166" formatCode="&quot;$&quot;#,##0.00;[Red]-&quot;$&quot;#,##0.00;&quot;–&quot;"/>
    <numFmt numFmtId="167" formatCode="0.0%;[Red]-0.0%;&quot;–&quot;"/>
    <numFmt numFmtId="168" formatCode="0.0"/>
    <numFmt numFmtId="169" formatCode="0.0%;[Red]-0.0%"/>
    <numFmt numFmtId="170" formatCode="mmm d, yyyy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FFFFFF"/>
      <sz val="10"/>
    </font>
    <font>
      <name val="Arial"/>
      <b val="1"/>
      <color rgb="002A1F33"/>
      <sz val="10"/>
    </font>
    <font>
      <name val="Arial"/>
      <b val="1"/>
      <color rgb="00B4235A"/>
      <sz val="12"/>
    </font>
    <font>
      <name val="Arial"/>
      <color rgb="002A1F33"/>
      <sz val="10"/>
    </font>
    <font>
      <name val="Arial"/>
      <i val="1"/>
      <color rgb="00655A6B"/>
      <sz val="9"/>
    </font>
    <font>
      <name val="Arial"/>
      <color rgb="00B4235A"/>
      <sz val="10"/>
      <u val="single"/>
    </font>
    <font>
      <name val="Arial"/>
      <b val="1"/>
      <color rgb="00B4235A"/>
      <sz val="11"/>
    </font>
    <font>
      <name val="Arial"/>
      <b val="1"/>
      <color rgb="00FFFFFF"/>
      <sz val="10"/>
    </font>
    <font>
      <name val="Arial"/>
      <b val="1"/>
      <color rgb="002A1F33"/>
      <sz val="14"/>
    </font>
    <font>
      <name val="Arial"/>
      <b val="1"/>
      <color rgb="00B4235A"/>
      <sz val="10"/>
    </font>
    <font>
      <name val="Arial"/>
      <i val="1"/>
      <color rgb="00655A6B"/>
      <sz val="10"/>
    </font>
    <font>
      <name val="Arial"/>
      <b val="1"/>
      <color rgb="002A1F33"/>
      <sz val="12"/>
    </font>
    <font>
      <name val="Arial"/>
      <color rgb="00655A6B"/>
      <sz val="9"/>
    </font>
    <font>
      <name val="Arial"/>
      <b val="1"/>
      <color rgb="000E7A57"/>
      <sz val="10"/>
    </font>
    <font>
      <name val="Arial"/>
      <b val="1"/>
      <color rgb="00B4235A"/>
      <sz val="10"/>
      <u val="single"/>
    </font>
  </fonts>
  <fills count="14">
    <fill>
      <patternFill/>
    </fill>
    <fill>
      <patternFill patternType="gray125"/>
    </fill>
    <fill>
      <patternFill patternType="solid">
        <fgColor rgb="00B4235A"/>
        <bgColor rgb="00B4235A"/>
      </patternFill>
    </fill>
    <fill>
      <patternFill patternType="solid">
        <fgColor rgb="002A1F33"/>
        <bgColor rgb="002A1F33"/>
      </patternFill>
    </fill>
    <fill>
      <patternFill patternType="solid">
        <fgColor rgb="00FDF1D6"/>
        <bgColor rgb="00FDF1D6"/>
      </patternFill>
    </fill>
    <fill>
      <patternFill patternType="solid">
        <fgColor rgb="00FFFFFF"/>
        <bgColor rgb="00FFFFFF"/>
      </patternFill>
    </fill>
    <fill>
      <patternFill patternType="solid">
        <fgColor rgb="00E7F3EB"/>
        <bgColor rgb="00E7F3EB"/>
      </patternFill>
    </fill>
    <fill>
      <patternFill patternType="solid">
        <fgColor rgb="00655A6B"/>
        <bgColor rgb="00655A6B"/>
      </patternFill>
    </fill>
    <fill>
      <patternFill patternType="solid">
        <fgColor rgb="00B4235A"/>
      </patternFill>
    </fill>
    <fill>
      <patternFill patternType="solid">
        <fgColor rgb="002A1F33"/>
      </patternFill>
    </fill>
    <fill>
      <patternFill patternType="solid">
        <fgColor rgb="00FDF1D6"/>
      </patternFill>
    </fill>
    <fill>
      <patternFill patternType="solid">
        <fgColor rgb="00FFFFFF"/>
      </patternFill>
    </fill>
    <fill>
      <patternFill patternType="solid">
        <fgColor rgb="00E7F3EB"/>
      </patternFill>
    </fill>
    <fill>
      <patternFill patternType="solid">
        <fgColor rgb="00655A6B"/>
      </patternFill>
    </fill>
  </fills>
  <borders count="6">
    <border>
      <left/>
      <right/>
      <top/>
      <bottom/>
      <diagonal/>
    </border>
    <border>
      <left style="thin">
        <color rgb="00ECE2D8"/>
      </left>
      <right style="thin">
        <color rgb="00ECE2D8"/>
      </right>
      <top style="thin">
        <color rgb="00ECE2D8"/>
      </top>
      <bottom style="thin">
        <color rgb="00ECE2D8"/>
      </bottom>
    </border>
    <border>
      <left/>
      <right/>
      <top style="thin">
        <color rgb="00ECE2D8"/>
      </top>
      <bottom/>
      <diagonal/>
    </border>
    <border>
      <left/>
      <right style="thin">
        <color rgb="00ECE2D8"/>
      </right>
      <top style="thin">
        <color rgb="00ECE2D8"/>
      </top>
      <bottom/>
      <diagonal/>
    </border>
    <border>
      <left/>
      <right style="thin">
        <color rgb="00ECE2D8"/>
      </right>
      <top style="thin">
        <color rgb="00ECE2D8"/>
      </top>
      <bottom style="thin">
        <color rgb="00ECE2D8"/>
      </bottom>
      <diagonal/>
    </border>
    <border>
      <left/>
      <right/>
      <top style="thin">
        <color rgb="00ECE2D8"/>
      </top>
      <bottom style="thin">
        <color rgb="00ECE2D8"/>
      </bottom>
      <diagonal/>
    </border>
  </borders>
  <cellStyleXfs count="1">
    <xf numFmtId="0" fontId="0" fillId="0" borderId="0"/>
  </cellStyleXfs>
  <cellXfs count="9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wrapText="1" indent="1"/>
    </xf>
    <xf numFmtId="0" fontId="0" fillId="3" borderId="0" pivotButton="0" quotePrefix="0" xfId="0"/>
    <xf numFmtId="0" fontId="3" fillId="4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0" pivotButton="0" quotePrefix="0" xfId="0"/>
    <xf numFmtId="0" fontId="4" fillId="5" borderId="1" pivotButton="0" quotePrefix="0" xfId="0"/>
    <xf numFmtId="0" fontId="6" fillId="0" borderId="0" applyAlignment="1" pivotButton="0" quotePrefix="0" xfId="0">
      <alignment vertical="top" wrapText="1"/>
    </xf>
    <xf numFmtId="0" fontId="5" fillId="5" borderId="1" pivotButton="0" quotePrefix="0" xfId="0"/>
    <xf numFmtId="0" fontId="0" fillId="0" borderId="4" pivotButton="0" quotePrefix="0" xfId="0"/>
    <xf numFmtId="0" fontId="5" fillId="6" borderId="1" pivotButton="0" quotePrefix="0" xfId="0"/>
    <xf numFmtId="0" fontId="5" fillId="0" borderId="0" applyAlignment="1" pivotButton="0" quotePrefix="0" xfId="0">
      <alignment vertical="top" wrapText="1"/>
    </xf>
    <xf numFmtId="0" fontId="5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164" fontId="3" fillId="6" borderId="1" pivotButton="0" quotePrefix="0" xfId="0"/>
    <xf numFmtId="0" fontId="9" fillId="3" borderId="1" applyAlignment="1" pivotButton="0" quotePrefix="0" xfId="0">
      <alignment horizontal="center" vertical="center" wrapText="1"/>
    </xf>
    <xf numFmtId="165" fontId="5" fillId="5" borderId="1" pivotButton="0" quotePrefix="0" xfId="0"/>
    <xf numFmtId="166" fontId="5" fillId="5" borderId="1" pivotButton="0" quotePrefix="0" xfId="0"/>
    <xf numFmtId="0" fontId="5" fillId="5" borderId="1" applyAlignment="1" pivotButton="0" quotePrefix="0" xfId="0">
      <alignment horizontal="center"/>
    </xf>
    <xf numFmtId="165" fontId="5" fillId="6" borderId="1" pivotButton="0" quotePrefix="0" xfId="0"/>
    <xf numFmtId="166" fontId="5" fillId="6" borderId="1" pivotButton="0" quotePrefix="0" xfId="0"/>
    <xf numFmtId="1" fontId="5" fillId="6" borderId="1" pivotButton="0" quotePrefix="0" xfId="0"/>
    <xf numFmtId="167" fontId="3" fillId="6" borderId="1" pivotButton="0" quotePrefix="0" xfId="0"/>
    <xf numFmtId="0" fontId="9" fillId="7" borderId="0" applyAlignment="1" pivotButton="0" quotePrefix="0" xfId="0">
      <alignment horizontal="center" vertical="center" wrapText="1"/>
    </xf>
    <xf numFmtId="166" fontId="3" fillId="6" borderId="1" pivotButton="0" quotePrefix="0" xfId="0"/>
    <xf numFmtId="167" fontId="5" fillId="6" borderId="1" pivotButton="0" quotePrefix="0" xfId="0"/>
    <xf numFmtId="165" fontId="8" fillId="5" borderId="1" pivotButton="0" quotePrefix="0" xfId="0"/>
    <xf numFmtId="0" fontId="0" fillId="0" borderId="5" pivotButton="0" quotePrefix="0" xfId="0"/>
    <xf numFmtId="0" fontId="3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164" fontId="5" fillId="5" borderId="1" applyAlignment="1" pivotButton="0" quotePrefix="0" xfId="0">
      <alignment vertical="top"/>
    </xf>
    <xf numFmtId="0" fontId="6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10" fontId="5" fillId="5" borderId="1" applyAlignment="1" pivotButton="0" quotePrefix="0" xfId="0">
      <alignment vertical="top"/>
    </xf>
    <xf numFmtId="0" fontId="5" fillId="5" borderId="1" applyAlignment="1" pivotButton="0" quotePrefix="0" xfId="0">
      <alignment vertical="top"/>
    </xf>
    <xf numFmtId="0" fontId="5" fillId="6" borderId="1" applyAlignment="1" pivotButton="0" quotePrefix="0" xfId="0">
      <alignment vertical="top"/>
    </xf>
    <xf numFmtId="0" fontId="3" fillId="6" borderId="1" pivotButton="0" quotePrefix="0" xfId="0"/>
    <xf numFmtId="0" fontId="5" fillId="0" borderId="1" pivotButton="0" quotePrefix="0" xfId="0"/>
    <xf numFmtId="10" fontId="5" fillId="5" borderId="1" pivotButton="0" quotePrefix="0" xfId="0"/>
    <xf numFmtId="164" fontId="5" fillId="5" borderId="1" pivotButton="0" quotePrefix="0" xfId="0"/>
    <xf numFmtId="0" fontId="6" fillId="5" borderId="1" pivotButton="0" quotePrefix="0" xfId="0"/>
    <xf numFmtId="0" fontId="6" fillId="0" borderId="0" applyAlignment="1" pivotButton="0" quotePrefix="0" xfId="0">
      <alignment horizontal="center" vertical="center" wrapText="1"/>
    </xf>
    <xf numFmtId="0" fontId="3" fillId="0" borderId="1" pivotButton="0" quotePrefix="0" xfId="0"/>
    <xf numFmtId="0" fontId="0" fillId="0" borderId="1" pivotButton="0" quotePrefix="0" xfId="0"/>
    <xf numFmtId="165" fontId="3" fillId="0" borderId="0" pivotButton="0" quotePrefix="0" xfId="0"/>
    <xf numFmtId="1" fontId="3" fillId="6" borderId="1" pivotButton="0" quotePrefix="0" xfId="0"/>
    <xf numFmtId="0" fontId="9" fillId="3" borderId="0" applyAlignment="1" pivotButton="0" quotePrefix="0" xfId="0">
      <alignment horizontal="center" vertical="center" wrapText="1"/>
    </xf>
    <xf numFmtId="1" fontId="10" fillId="6" borderId="1" applyAlignment="1" pivotButton="0" quotePrefix="0" xfId="0">
      <alignment horizontal="center" vertical="center"/>
    </xf>
    <xf numFmtId="164" fontId="10" fillId="6" borderId="1" applyAlignment="1" pivotButton="0" quotePrefix="0" xfId="0">
      <alignment horizontal="center" vertical="center"/>
    </xf>
    <xf numFmtId="167" fontId="10" fillId="6" borderId="1" applyAlignment="1" pivotButton="0" quotePrefix="0" xfId="0">
      <alignment horizontal="center" vertical="center"/>
    </xf>
    <xf numFmtId="168" fontId="10" fillId="6" borderId="1" applyAlignment="1" pivotButton="0" quotePrefix="0" xfId="0">
      <alignment horizontal="center" vertical="center"/>
    </xf>
    <xf numFmtId="164" fontId="5" fillId="6" borderId="1" pivotButton="0" quotePrefix="0" xfId="0"/>
    <xf numFmtId="168" fontId="5" fillId="6" borderId="1" pivotButton="0" quotePrefix="0" xfId="0"/>
    <xf numFmtId="168" fontId="3" fillId="6" borderId="1" pivotButton="0" quotePrefix="0" xfId="0"/>
    <xf numFmtId="0" fontId="11" fillId="5" borderId="1" pivotButton="0" quotePrefix="0" xfId="0"/>
    <xf numFmtId="0" fontId="3" fillId="0" borderId="0" applyAlignment="1" pivotButton="0" quotePrefix="0" xfId="0">
      <alignment vertical="top"/>
    </xf>
    <xf numFmtId="0" fontId="1" fillId="8" borderId="0" applyAlignment="1" pivotButton="0" quotePrefix="0" xfId="0">
      <alignment vertical="center" indent="1"/>
    </xf>
    <xf numFmtId="0" fontId="2" fillId="9" borderId="0" applyAlignment="1" pivotButton="0" quotePrefix="0" xfId="0">
      <alignment vertical="center" wrapText="1" indent="1"/>
    </xf>
    <xf numFmtId="0" fontId="12" fillId="0" borderId="0" applyAlignment="1" pivotButton="0" quotePrefix="0" xfId="0">
      <alignment vertical="center" wrapText="1"/>
    </xf>
    <xf numFmtId="0" fontId="3" fillId="10" borderId="0" applyAlignment="1" pivotButton="0" quotePrefix="0" xfId="0">
      <alignment vertical="center" wrapText="1"/>
    </xf>
    <xf numFmtId="0" fontId="13" fillId="0" borderId="0" pivotButton="0" quotePrefix="0" xfId="0"/>
    <xf numFmtId="0" fontId="5" fillId="0" borderId="0" applyAlignment="1" pivotButton="0" quotePrefix="0" xfId="0">
      <alignment vertical="center" wrapText="1"/>
    </xf>
    <xf numFmtId="0" fontId="5" fillId="11" borderId="1" pivotButton="0" quotePrefix="0" xfId="0"/>
    <xf numFmtId="0" fontId="5" fillId="12" borderId="1" pivotButton="0" quotePrefix="0" xfId="0"/>
    <xf numFmtId="0" fontId="5" fillId="10" borderId="1" pivotButton="0" quotePrefix="0" xfId="0"/>
    <xf numFmtId="0" fontId="14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horizontal="right"/>
    </xf>
    <xf numFmtId="164" fontId="15" fillId="0" borderId="0" pivotButton="0" quotePrefix="0" xfId="0"/>
    <xf numFmtId="164" fontId="3" fillId="12" borderId="0" pivotButton="0" quotePrefix="0" xfId="0"/>
    <xf numFmtId="169" fontId="3" fillId="12" borderId="0" pivotButton="0" quotePrefix="0" xfId="0"/>
    <xf numFmtId="0" fontId="9" fillId="9" borderId="0" applyAlignment="1" pivotButton="0" quotePrefix="0" xfId="0">
      <alignment horizontal="center" vertical="center" wrapText="1"/>
    </xf>
    <xf numFmtId="0" fontId="9" fillId="13" borderId="0" applyAlignment="1" pivotButton="0" quotePrefix="0" xfId="0">
      <alignment horizontal="center" vertical="center" wrapText="1"/>
    </xf>
    <xf numFmtId="170" fontId="5" fillId="0" borderId="1" pivotButton="0" quotePrefix="0" xfId="0"/>
    <xf numFmtId="166" fontId="5" fillId="0" borderId="1" pivotButton="0" quotePrefix="0" xfId="0"/>
    <xf numFmtId="166" fontId="5" fillId="12" borderId="1" pivotButton="0" quotePrefix="0" xfId="0"/>
    <xf numFmtId="166" fontId="15" fillId="12" borderId="1" pivotButton="0" quotePrefix="0" xfId="0"/>
    <xf numFmtId="169" fontId="5" fillId="12" borderId="1" pivotButton="0" quotePrefix="0" xfId="0"/>
    <xf numFmtId="10" fontId="5" fillId="12" borderId="1" pivotButton="0" quotePrefix="0" xfId="0"/>
    <xf numFmtId="0" fontId="2" fillId="9" borderId="0" applyAlignment="1" pivotButton="0" quotePrefix="0" xfId="0">
      <alignment vertical="center" indent="1"/>
    </xf>
    <xf numFmtId="0" fontId="3" fillId="12" borderId="1" pivotButton="0" quotePrefix="0" xfId="0"/>
    <xf numFmtId="164" fontId="3" fillId="12" borderId="1" pivotButton="0" quotePrefix="0" xfId="0"/>
    <xf numFmtId="164" fontId="15" fillId="12" borderId="1" pivotButton="0" quotePrefix="0" xfId="0"/>
    <xf numFmtId="169" fontId="3" fillId="12" borderId="1" pivotButton="0" quotePrefix="0" xfId="0"/>
    <xf numFmtId="165" fontId="8" fillId="5" borderId="1" pivotButton="0" quotePrefix="0" xfId="0"/>
    <xf numFmtId="164" fontId="5" fillId="5" borderId="1" applyAlignment="1" pivotButton="0" quotePrefix="0" xfId="0">
      <alignment vertical="top"/>
    </xf>
    <xf numFmtId="164" fontId="5" fillId="5" borderId="1" pivotButton="0" quotePrefix="0" xfId="0"/>
    <xf numFmtId="165" fontId="3" fillId="0" borderId="0" pivotButton="0" quotePrefix="0" xfId="0"/>
    <xf numFmtId="0" fontId="3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15" fillId="12" borderId="1" applyAlignment="1" pivotButton="0" quotePrefix="0" xfId="0">
      <alignment horizontal="center" vertical="center" wrapText="1"/>
    </xf>
    <xf numFmtId="0" fontId="16" fillId="0" borderId="0" pivotButton="0" quotePrefix="0" xfId="0"/>
    <xf numFmtId="0" fontId="14" fillId="0" borderId="0" applyAlignment="1" pivotButton="0" quotePrefix="0" xfId="0">
      <alignment wrapText="1"/>
    </xf>
  </cellXfs>
  <cellStyles count="1">
    <cellStyle name="Normal" xfId="0" builtinId="0" hidden="0"/>
  </cellStyles>
  <dxfs count="5">
    <dxf>
      <font>
        <b val="1"/>
        <color rgb="008E1A46"/>
      </font>
      <fill>
        <patternFill patternType="solid">
          <fgColor rgb="00FDF1D6"/>
          <bgColor rgb="00FDF1D6"/>
        </patternFill>
      </fill>
    </dxf>
    <dxf>
      <font>
        <color rgb="00C0392B"/>
      </font>
    </dxf>
    <dxf>
      <font>
        <b val="1"/>
        <color rgb="00C0392B"/>
      </font>
    </dxf>
    <dxf>
      <fill>
        <patternFill patternType="solid">
          <fgColor rgb="00FDF1D6"/>
          <bgColor rgb="00FDF1D6"/>
        </patternFill>
      </fill>
    </dxf>
    <dxf>
      <fill>
        <patternFill patternType="solid">
          <fgColor rgb="00FD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4235A"/>
    <outlinePr summaryBelow="1" summaryRight="1"/>
    <pageSetUpPr/>
  </sheetPr>
  <dimension ref="A1:H2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2" customWidth="1" min="8" max="8"/>
  </cols>
  <sheetData>
    <row r="1" ht="36" customHeight="1">
      <c r="A1" s="60" t="inlineStr">
        <is>
          <t>SoldSplit Quick Profit Check: 25 sales</t>
        </is>
      </c>
    </row>
    <row r="2" ht="44" customHeight="1">
      <c r="A2" s="61" t="inlineStr">
        <is>
          <t>Free taster · v1.0 (2026)   |   Fee estimates use the Fee Rules tab, copied from soldsplit.com (last checked Oct 21, 2026). Platforms change fees: check soldsplit.com and your platform statement. Estimates only, not financial or tax advice.</t>
        </is>
      </c>
    </row>
    <row r="3" ht="30" customHeight="1">
      <c r="B3" s="62" t="inlineStr">
        <is>
          <t>SAMPLE FILE: 25 fictional sales across the main platforms, so every tab shows filled in. The blank file in this download is the same workbook with no data.</t>
        </is>
      </c>
    </row>
    <row r="4" ht="58" customHeight="1">
      <c r="B4" s="63" t="inlineStr">
        <is>
          <t>FEES CHANGE. Estimated fees use the rules on the Fee Rules tab, copied from soldsplit.com (fees last checked Oct 21, 2026). They can differ from what a platform actually charged: soldsplit.com/fee-changes logs changes, and 'Fee override' holds the actual fee from a platform statement. Estimates only, not financial or tax advice.</t>
        </is>
      </c>
    </row>
    <row r="6">
      <c r="B6" s="64" t="inlineStr">
        <is>
          <t>Tab map</t>
        </is>
      </c>
    </row>
    <row r="7" ht="58" customHeight="1">
      <c r="B7" s="59" t="inlineStr">
        <is>
          <t>Quick Check</t>
        </is>
      </c>
      <c r="C7" s="65" t="inlineStr">
        <is>
          <t>One row per sale (25 rows): platform, item price, shipping the buyer paid, sales tax the platform collected, your label cost and what you paid for the item. Fees, payout and 'You keep' calculate. Fee options: eBay category (blank = Most categories), Whatnot category (blank = Other) and tier, Depop Boosted. Facebook Marketplace and Other have no fee rule, so their fee sits in 'Fee override'.</t>
        </is>
      </c>
    </row>
    <row r="8" ht="18" customHeight="1">
      <c r="B8" s="59" t="inlineStr">
        <is>
          <t>By Platform</t>
        </is>
      </c>
      <c r="C8" s="65" t="inlineStr">
        <is>
          <t>Sales, revenue, fees and what you keep for each platform, with the average kept per sale.</t>
        </is>
      </c>
    </row>
    <row r="9" ht="30" customHeight="1">
      <c r="B9" s="59" t="inlineStr">
        <is>
          <t>Fee Rules</t>
        </is>
      </c>
      <c r="C9" s="65" t="inlineStr">
        <is>
          <t>The fee rules behind every estimate, copied unchanged from the full Profit &amp; Inventory Tracker (soldsplit.com rules, checked Oct 21, 2026).</t>
        </is>
      </c>
    </row>
    <row r="10" ht="18" customHeight="1">
      <c r="B10" s="59" t="inlineStr">
        <is>
          <t>Full Tracker</t>
        </is>
      </c>
      <c r="C10" s="65" t="inlineStr">
        <is>
          <t>What the full Profit &amp; Inventory Tracker and the Reseller Bundle add, with links.</t>
        </is>
      </c>
    </row>
    <row r="12">
      <c r="B12" s="64" t="inlineStr">
        <is>
          <t>Colour key</t>
        </is>
      </c>
    </row>
    <row r="13">
      <c r="B13" s="66" t="inlineStr">
        <is>
          <t>White cells</t>
        </is>
      </c>
      <c r="C13" s="65" t="inlineStr">
        <is>
          <t>You type here (some have dropdowns).</t>
        </is>
      </c>
    </row>
    <row r="14">
      <c r="B14" s="67" t="inlineStr">
        <is>
          <t>Green cells</t>
        </is>
      </c>
      <c r="C14" s="65" t="inlineStr">
        <is>
          <t>Formulas. Typing over one replaces it.</t>
        </is>
      </c>
    </row>
    <row r="15">
      <c r="B15" s="68" t="inlineStr">
        <is>
          <t>Yellow cells</t>
        </is>
      </c>
      <c r="C15" s="65" t="inlineStr">
        <is>
          <t>Something to check (a fee option that does not apply to that platform).</t>
        </is>
      </c>
    </row>
    <row r="17">
      <c r="B17" s="64" t="inlineStr">
        <is>
          <t>Free fee calculators and the fee change log</t>
        </is>
      </c>
    </row>
    <row r="18">
      <c r="B18" s="15">
        <f>HYPERLINK("https://soldsplit.com/","Compare all platforms")</f>
        <v/>
      </c>
      <c r="C18" s="69" t="inlineStr">
        <is>
          <t>https://soldsplit.com/</t>
        </is>
      </c>
    </row>
    <row r="19">
      <c r="B19" s="15">
        <f>HYPERLINK("https://soldsplit.com/ebay-fee-calculator/","eBay fee calculator")</f>
        <v/>
      </c>
      <c r="C19" s="69" t="inlineStr">
        <is>
          <t>https://soldsplit.com/ebay-fee-calculator/</t>
        </is>
      </c>
    </row>
    <row r="20">
      <c r="B20" s="15">
        <f>HYPERLINK("https://soldsplit.com/poshmark-fee-calculator/","Poshmark fee calculator")</f>
        <v/>
      </c>
      <c r="C20" s="69" t="inlineStr">
        <is>
          <t>https://soldsplit.com/poshmark-fee-calculator/</t>
        </is>
      </c>
    </row>
    <row r="21">
      <c r="B21" s="15">
        <f>HYPERLINK("https://soldsplit.com/mercari-fee-calculator/","Mercari fee calculator")</f>
        <v/>
      </c>
      <c r="C21" s="69" t="inlineStr">
        <is>
          <t>https://soldsplit.com/mercari-fee-calculator/</t>
        </is>
      </c>
    </row>
    <row r="22">
      <c r="B22" s="15">
        <f>HYPERLINK("https://soldsplit.com/whatnot-fee-calculator/","Whatnot fee calculator")</f>
        <v/>
      </c>
      <c r="C22" s="69" t="inlineStr">
        <is>
          <t>https://soldsplit.com/whatnot-fee-calculator/</t>
        </is>
      </c>
    </row>
    <row r="23">
      <c r="B23" s="15">
        <f>HYPERLINK("https://soldsplit.com/depop-fee-calculator/","Depop fee calculator")</f>
        <v/>
      </c>
      <c r="C23" s="69" t="inlineStr">
        <is>
          <t>https://soldsplit.com/depop-fee-calculator/</t>
        </is>
      </c>
    </row>
    <row r="24">
      <c r="B24" s="15">
        <f>HYPERLINK("https://soldsplit.com/etsy-fee-calculator/","Etsy fee calculator")</f>
        <v/>
      </c>
      <c r="C24" s="69" t="inlineStr">
        <is>
          <t>https://soldsplit.com/etsy-fee-calculator/</t>
        </is>
      </c>
    </row>
    <row r="25">
      <c r="B25" s="15">
        <f>HYPERLINK("https://soldsplit.com/fee-changes/","Fee change log")</f>
        <v/>
      </c>
      <c r="C25" s="69" t="inlineStr">
        <is>
          <t>https://soldsplit.com/fee-changes/</t>
        </is>
      </c>
    </row>
    <row r="27" ht="48" customHeight="1">
      <c r="B27" s="69" t="inlineStr">
        <is>
          <t>SoldSplit Quick Profit Check v1.0 (2026), a free cut-down of the SoldSplit Profit &amp; Inventory Tracker. Works in Microsoft Excel (.xlsx). No macros or add-ons. Free for your own use; please share the signup page rather than the file. Made by SoldSplit (soldsplit.com) with the help of AI tools. SoldSplit is independent and not affiliated with any marketplace; platform names are trademarks of their owners.</t>
        </is>
      </c>
    </row>
  </sheetData>
  <mergeCells count="20">
    <mergeCell ref="C24:G24"/>
    <mergeCell ref="C15:G15"/>
    <mergeCell ref="C14:G14"/>
    <mergeCell ref="A1:H1"/>
    <mergeCell ref="C20:G20"/>
    <mergeCell ref="C10:G10"/>
    <mergeCell ref="C25:G25"/>
    <mergeCell ref="C22:G22"/>
    <mergeCell ref="C9:G9"/>
    <mergeCell ref="C21:G21"/>
    <mergeCell ref="A2:H2"/>
    <mergeCell ref="B4:G4"/>
    <mergeCell ref="C23:G23"/>
    <mergeCell ref="C8:G8"/>
    <mergeCell ref="B3:G3"/>
    <mergeCell ref="C7:G7"/>
    <mergeCell ref="B27:G27"/>
    <mergeCell ref="C19:G19"/>
    <mergeCell ref="C13:G13"/>
    <mergeCell ref="C18:G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E7A57"/>
    <outlinePr summaryBelow="1" summaryRight="1"/>
    <pageSetUpPr/>
  </sheetPr>
  <dimension ref="A1:AF30"/>
  <sheetViews>
    <sheetView showGridLines="0" tabSelected="1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20" customWidth="1" min="2" max="2"/>
    <col width="25" customWidth="1" min="3" max="3"/>
    <col width="16" customWidth="1" min="4" max="4"/>
    <col width="12" customWidth="1" min="5" max="5"/>
    <col width="10" customWidth="1" min="6" max="6"/>
    <col width="11" customWidth="1" min="7" max="7"/>
    <col width="11" customWidth="1" min="8" max="8"/>
    <col width="11" customWidth="1" min="9" max="9"/>
    <col width="13" customWidth="1" min="10" max="10"/>
    <col width="12" customWidth="1" min="11" max="11"/>
    <col width="10" customWidth="1" min="12" max="12"/>
    <col width="11" customWidth="1" min="13" max="13"/>
    <col width="14" customWidth="1" min="14" max="14"/>
    <col width="11" customWidth="1" min="15" max="15"/>
    <col width="12" customWidth="1" min="16" max="16"/>
    <col width="11" customWidth="1" min="17" max="17"/>
    <col width="10" customWidth="1" min="18" max="18"/>
    <col width="12" customWidth="1" min="19" max="19"/>
    <col width="11" customWidth="1" min="20" max="20"/>
    <col width="2" customWidth="1" min="21" max="21"/>
    <col outlineLevel="1" width="11" customWidth="1" min="22" max="32"/>
  </cols>
  <sheetData>
    <row r="1" ht="34" customHeight="1">
      <c r="A1" s="60" t="inlineStr">
        <is>
          <t>Quick Check: what you really keep per sale</t>
        </is>
      </c>
    </row>
    <row r="2" ht="32" customHeight="1">
      <c r="A2" s="61" t="inlineStr">
        <is>
          <t>One row per sale, up to 25. Fees estimate from the Fee Rules tab; type the actual fee in 'Fee override' when you have it. You keep = payout − label − other costs − item cost.   |   Fee estimates use the Fee Rules tab, copied from soldsplit.com (last checked Oct 21, 2026). Estimates only, not financial or tax advice.</t>
        </is>
      </c>
    </row>
    <row r="3">
      <c r="S3" s="70" t="inlineStr">
        <is>
          <t>Average you keep per sale</t>
        </is>
      </c>
      <c r="T3" s="71">
        <f>IF(COUNT(F6:F30)=0,"",S4/COUNT(F6:F30))</f>
        <v/>
      </c>
    </row>
    <row r="4">
      <c r="A4" s="7" t="inlineStr">
        <is>
          <t>Totals</t>
        </is>
      </c>
      <c r="B4" s="7">
        <f>COUNT(F6:F30)&amp;" of 25 sales"</f>
        <v/>
      </c>
      <c r="F4" s="72">
        <f>SUM(F6:F30)</f>
        <v/>
      </c>
      <c r="G4" s="72">
        <f>SUM(G6:G30)</f>
        <v/>
      </c>
      <c r="H4" s="72">
        <f>SUM(H6:H30)</f>
        <v/>
      </c>
      <c r="I4" s="72">
        <f>SUM(I6:I30)</f>
        <v/>
      </c>
      <c r="J4" s="72">
        <f>SUM(J6:J30)</f>
        <v/>
      </c>
      <c r="L4" s="72">
        <f>SUM(L6:L30)</f>
        <v/>
      </c>
      <c r="M4" s="72">
        <f>SUM(M6:M30)</f>
        <v/>
      </c>
      <c r="P4" s="72">
        <f>SUM(P6:P30)</f>
        <v/>
      </c>
      <c r="Q4" s="72">
        <f>SUM(Q6:Q30)</f>
        <v/>
      </c>
      <c r="R4" s="72">
        <f>SUM(R6:R30)</f>
        <v/>
      </c>
      <c r="S4" s="72">
        <f>SUM(S6:S30)</f>
        <v/>
      </c>
      <c r="T4" s="73">
        <f>IF(Q4=0,"",S4/Q4)</f>
        <v/>
      </c>
      <c r="V4" s="16" t="inlineStr">
        <is>
          <t>Fee workings (formulas, no typing needed)</t>
        </is>
      </c>
    </row>
    <row r="5" ht="58" customHeight="1">
      <c r="A5" s="74" t="inlineStr">
        <is>
          <t>Date sold</t>
        </is>
      </c>
      <c r="B5" s="74" t="inlineStr">
        <is>
          <t>Platform</t>
        </is>
      </c>
      <c r="C5" s="74" t="inlineStr">
        <is>
          <t>Item</t>
        </is>
      </c>
      <c r="D5" s="74" t="inlineStr">
        <is>
          <t>Fee option
(eBay / Whatnot category, Depop boost)</t>
        </is>
      </c>
      <c r="E5" s="74" t="inlineStr">
        <is>
          <t>Whatnot tier
(blank = default)</t>
        </is>
      </c>
      <c r="F5" s="74" t="inlineStr">
        <is>
          <t>Item price</t>
        </is>
      </c>
      <c r="G5" s="74" t="inlineStr">
        <is>
          <t>Shipping charged to buyer</t>
        </is>
      </c>
      <c r="H5" s="74" t="inlineStr">
        <is>
          <t>Sales tax (collected by platform)</t>
        </is>
      </c>
      <c r="I5" s="74" t="inlineStr">
        <is>
          <t>Buyer paid
(item + ship + tax)</t>
        </is>
      </c>
      <c r="J5" s="74" t="inlineStr">
        <is>
          <t>Est. platform fees
(soldsplit.com rules)</t>
        </is>
      </c>
      <c r="K5" s="74" t="inlineStr">
        <is>
          <t>Fee override
(actual, from statement)</t>
        </is>
      </c>
      <c r="L5" s="74" t="inlineStr">
        <is>
          <t>Fees used</t>
        </is>
      </c>
      <c r="M5" s="74" t="inlineStr">
        <is>
          <t>Payout from platform</t>
        </is>
      </c>
      <c r="N5" s="74" t="inlineStr">
        <is>
          <t>Your label cost
(blank = same as shipping charged)</t>
        </is>
      </c>
      <c r="O5" s="74" t="inlineStr">
        <is>
          <t>Item cost
(what you paid)</t>
        </is>
      </c>
      <c r="P5" s="74" t="inlineStr">
        <is>
          <t>Other costs
(ads, insertion, supplies)</t>
        </is>
      </c>
      <c r="Q5" s="74" t="inlineStr">
        <is>
          <t>Revenue
(excl. tax)</t>
        </is>
      </c>
      <c r="R5" s="74" t="inlineStr">
        <is>
          <t>Label used</t>
        </is>
      </c>
      <c r="S5" s="74" t="inlineStr">
        <is>
          <t>You keep
(take-home)</t>
        </is>
      </c>
      <c r="T5" s="74" t="inlineStr">
        <is>
          <t>Margin</t>
        </is>
      </c>
      <c r="V5" s="75" t="inlineStr">
        <is>
          <t>eBay row</t>
        </is>
      </c>
      <c r="W5" s="75" t="inlineStr">
        <is>
          <t>eBay FVF</t>
        </is>
      </c>
      <c r="X5" s="75" t="inlineStr">
        <is>
          <t>eBay per-order</t>
        </is>
      </c>
      <c r="Y5" s="75" t="inlineStr">
        <is>
          <t>eBay fee</t>
        </is>
      </c>
      <c r="Z5" s="75" t="inlineStr">
        <is>
          <t>Poshmark fee</t>
        </is>
      </c>
      <c r="AA5" s="75" t="inlineStr">
        <is>
          <t>Mercari fee</t>
        </is>
      </c>
      <c r="AB5" s="75" t="inlineStr">
        <is>
          <t>Whatnot rate</t>
        </is>
      </c>
      <c r="AC5" s="75" t="inlineStr">
        <is>
          <t>Whatnot fee</t>
        </is>
      </c>
      <c r="AD5" s="75" t="inlineStr">
        <is>
          <t>Depop fee</t>
        </is>
      </c>
      <c r="AE5" s="75" t="inlineStr">
        <is>
          <t>Etsy fee</t>
        </is>
      </c>
      <c r="AF5" s="75" t="inlineStr">
        <is>
          <t>Option check</t>
        </is>
      </c>
    </row>
    <row r="6">
      <c r="A6" s="76" t="n">
        <v>46267</v>
      </c>
      <c r="B6" s="41" t="inlineStr">
        <is>
          <t>eBay</t>
        </is>
      </c>
      <c r="C6" s="41" t="inlineStr">
        <is>
          <t>Vintage Pyrex bowl</t>
        </is>
      </c>
      <c r="D6" s="41" t="n"/>
      <c r="E6" s="41" t="n"/>
      <c r="F6" s="77" t="n">
        <v>38</v>
      </c>
      <c r="G6" s="77" t="n">
        <v>9.5</v>
      </c>
      <c r="H6" s="77" t="n">
        <v>3.2</v>
      </c>
      <c r="I6" s="78">
        <f>IF(F6="","",F6+SUM(G6)+SUM(H6))</f>
        <v/>
      </c>
      <c r="J6" s="78">
        <f>IF(F6="","",IF(B6="eBay",Y6,IF(B6="Poshmark",Z6,IF(B6="Mercari",AA6,IF(B6="Whatnot",AC6,IF(B6="Depop",AD6,IF(B6="Etsy",AE6,"n/a")))))))</f>
        <v/>
      </c>
      <c r="K6" s="77" t="n"/>
      <c r="L6" s="78">
        <f>IF(F6="","",IF(K6&lt;&gt;"",K6,IF(ISNUMBER(J6),J6,0)))</f>
        <v/>
      </c>
      <c r="M6" s="78">
        <f>IF(F6="","",F6+IF(B6="Poshmark",0,SUM(G6))-L6)</f>
        <v/>
      </c>
      <c r="N6" s="77" t="n">
        <v>8.75</v>
      </c>
      <c r="O6" s="77" t="n">
        <v>6</v>
      </c>
      <c r="P6" s="77" t="n"/>
      <c r="Q6" s="78">
        <f>IF(F6="","",F6+IF(B6="Poshmark",0,SUM(G6)))</f>
        <v/>
      </c>
      <c r="R6" s="78">
        <f>IF(F6="","",IF(B6="Poshmark",SUM(N6),IF(N6="",SUM(G6),N6)))</f>
        <v/>
      </c>
      <c r="S6" s="79">
        <f>IF(F6="","",M6-R6-SUM(P6)-SUM(O6))</f>
        <v/>
      </c>
      <c r="T6" s="80">
        <f>IF(OR(F6="",Q6=0),"",S6/Q6)</f>
        <v/>
      </c>
      <c r="V6" s="67">
        <f>IF(OR(B6&lt;&gt;"eBay",F6=""),"",IFERROR(MATCH(D6,'Fee Rules'!$A$37:$A$46,0),MATCH("Most",'Fee Rules'!$A$37:$A$46,0)))</f>
        <v/>
      </c>
      <c r="W6" s="78">
        <f>IF(V6="","",ROUND(IF(INDEX('Fee Rules'!$C$37:$C$46,V6)="Tiered",MIN(I6,INDEX('Fee Rules'!$E$37:$E$46,V6))*INDEX('Fee Rules'!$D$37:$D$46,V6)+MAX(0,MIN(I6,IF(INDEX('Fee Rules'!$G$37:$G$46,V6)="",INDEX('Fee Rules'!$E$37:$E$46,V6),INDEX('Fee Rules'!$G$37:$G$46,V6)))-INDEX('Fee Rules'!$E$37:$E$46,V6))*IF(INDEX('Fee Rules'!$F$37:$F$46,V6)="",0,INDEX('Fee Rules'!$F$37:$F$46,V6))+MAX(0,I6-IF(INDEX('Fee Rules'!$G$37:$G$46,V6)="",INDEX('Fee Rules'!$E$37:$E$46,V6),INDEX('Fee Rules'!$G$37:$G$46,V6)))*INDEX('Fee Rules'!$H$37:$H$46,V6),I6*IF(IF(INDEX('Fee Rules'!$C$37:$C$46,V6)="Whole amount (total &lt; limit)",I6&lt;INDEX('Fee Rules'!$E$37:$E$46,V6),I6&lt;=INDEX('Fee Rules'!$E$37:$E$46,V6)),INDEX('Fee Rules'!$D$37:$D$46,V6),INDEX('Fee Rules'!$H$37:$H$46,V6)))+0.00000001,2))</f>
        <v/>
      </c>
      <c r="X6" s="78">
        <f>IF(V6="","",IF(AND(INDEX('Fee Rules'!$I$37:$I$46,V6)&lt;&gt;"",I6&gt;=INDEX('Fee Rules'!$I$37:$I$46,V6)),0,IF(I6&lt;='Fee Rules'!$C$13,'Fee Rules'!$C$11,'Fee Rules'!$C$12)))</f>
        <v/>
      </c>
      <c r="Y6" s="78">
        <f>IF(V6="","",W6+X6)</f>
        <v/>
      </c>
      <c r="Z6" s="78">
        <f>IF(OR(B6&lt;&gt;"Poshmark",F6=""),"",IF(F6&lt;'Fee Rules'!$C$16,'Fee Rules'!$C$15,ROUND(F6*'Fee Rules'!$C$17+0.00000001,2)))</f>
        <v/>
      </c>
      <c r="AA6" s="78">
        <f>IF(OR(B6&lt;&gt;"Mercari",F6=""),"",ROUND((F6+SUM(G6))*'Fee Rules'!$C$18+0.00000001,2))</f>
        <v/>
      </c>
      <c r="AB6" s="81">
        <f>IF(OR(B6&lt;&gt;"Whatnot",F6=""),"",INDEX('Fee Rules'!$C$53:$I$58,IFERROR(MATCH(D6,'Fee Rules'!$A$53:$A$58,0),MATCH("Other",'Fee Rules'!$A$53:$A$58,0)),IFERROR(MATCH(IF(E6="",'Fee Rules'!$C$21,E6),'Fee Rules'!$C$51:$I$51,0),1)))</f>
        <v/>
      </c>
      <c r="AC6" s="78">
        <f>IF(AB6="","",ROUND(F6*AB6+0.00000001,2)+IF(I6&gt;0,ROUND(I6*'Fee Rules'!$C$19+'Fee Rules'!$C$20+0.00000001,2),0))</f>
        <v/>
      </c>
      <c r="AD6" s="78">
        <f>IF(OR(B6&lt;&gt;"Depop",F6=""),"",ROUND(F6*'Fee Rules'!$C$22+0.00000001,2)+ROUND(I6*'Fee Rules'!$C$23+'Fee Rules'!$C$24+0.00000001,2)+IF(D6="Boosted",ROUND(F6*'Fee Rules'!$C$25+0.00000001,2),IF(D6="Boosted own label",ROUND((F6+SUM(G6))*'Fee Rules'!$C$25+0.00000001,2),0)))</f>
        <v/>
      </c>
      <c r="AE6" s="78">
        <f>IF(OR(B6&lt;&gt;"Etsy",F6=""),"",IF('Fee Rules'!$C$27="No",0,'Fee Rules'!$C$26)+ROUND((F6+SUM(G6))*'Fee Rules'!$C$28+0.00000001,2)+ROUND(I6*'Fee Rules'!$C$29+'Fee Rules'!$C$30+0.00000001,2))</f>
        <v/>
      </c>
      <c r="AF6" s="67">
        <f>IF(D6="","",IF(OR(AND(B6="eBay",COUNTIF('Fee Rules'!$A$37:$A$46,D6)&gt;0),AND(B6="Whatnot",COUNTIF('Fee Rules'!$A$53:$A$58,D6)&gt;0),AND(B6="Depop",OR(D6="Boosted",D6="Boosted own label"))),"","Option not used for "&amp;B6))</f>
        <v/>
      </c>
    </row>
    <row r="7">
      <c r="A7" s="76" t="n">
        <v>46269</v>
      </c>
      <c r="B7" s="41" t="inlineStr">
        <is>
          <t>Poshmark</t>
        </is>
      </c>
      <c r="C7" s="41" t="inlineStr">
        <is>
          <t>Athletic leggings</t>
        </is>
      </c>
      <c r="D7" s="41" t="n"/>
      <c r="E7" s="41" t="n"/>
      <c r="F7" s="77" t="n">
        <v>42</v>
      </c>
      <c r="G7" s="77" t="n"/>
      <c r="H7" s="77" t="n"/>
      <c r="I7" s="78">
        <f>IF(F7="","",F7+SUM(G7)+SUM(H7))</f>
        <v/>
      </c>
      <c r="J7" s="78">
        <f>IF(F7="","",IF(B7="eBay",Y7,IF(B7="Poshmark",Z7,IF(B7="Mercari",AA7,IF(B7="Whatnot",AC7,IF(B7="Depop",AD7,IF(B7="Etsy",AE7,"n/a")))))))</f>
        <v/>
      </c>
      <c r="K7" s="77" t="n"/>
      <c r="L7" s="78">
        <f>IF(F7="","",IF(K7&lt;&gt;"",K7,IF(ISNUMBER(J7),J7,0)))</f>
        <v/>
      </c>
      <c r="M7" s="78">
        <f>IF(F7="","",F7+IF(B7="Poshmark",0,SUM(G7))-L7)</f>
        <v/>
      </c>
      <c r="N7" s="77" t="n"/>
      <c r="O7" s="77" t="n">
        <v>7.99</v>
      </c>
      <c r="P7" s="77" t="n"/>
      <c r="Q7" s="78">
        <f>IF(F7="","",F7+IF(B7="Poshmark",0,SUM(G7)))</f>
        <v/>
      </c>
      <c r="R7" s="78">
        <f>IF(F7="","",IF(B7="Poshmark",SUM(N7),IF(N7="",SUM(G7),N7)))</f>
        <v/>
      </c>
      <c r="S7" s="79">
        <f>IF(F7="","",M7-R7-SUM(P7)-SUM(O7))</f>
        <v/>
      </c>
      <c r="T7" s="80">
        <f>IF(OR(F7="",Q7=0),"",S7/Q7)</f>
        <v/>
      </c>
      <c r="V7" s="67">
        <f>IF(OR(B7&lt;&gt;"eBay",F7=""),"",IFERROR(MATCH(D7,'Fee Rules'!$A$37:$A$46,0),MATCH("Most",'Fee Rules'!$A$37:$A$46,0)))</f>
        <v/>
      </c>
      <c r="W7" s="78">
        <f>IF(V7="","",ROUND(IF(INDEX('Fee Rules'!$C$37:$C$46,V7)="Tiered",MIN(I7,INDEX('Fee Rules'!$E$37:$E$46,V7))*INDEX('Fee Rules'!$D$37:$D$46,V7)+MAX(0,MIN(I7,IF(INDEX('Fee Rules'!$G$37:$G$46,V7)="",INDEX('Fee Rules'!$E$37:$E$46,V7),INDEX('Fee Rules'!$G$37:$G$46,V7)))-INDEX('Fee Rules'!$E$37:$E$46,V7))*IF(INDEX('Fee Rules'!$F$37:$F$46,V7)="",0,INDEX('Fee Rules'!$F$37:$F$46,V7))+MAX(0,I7-IF(INDEX('Fee Rules'!$G$37:$G$46,V7)="",INDEX('Fee Rules'!$E$37:$E$46,V7),INDEX('Fee Rules'!$G$37:$G$46,V7)))*INDEX('Fee Rules'!$H$37:$H$46,V7),I7*IF(IF(INDEX('Fee Rules'!$C$37:$C$46,V7)="Whole amount (total &lt; limit)",I7&lt;INDEX('Fee Rules'!$E$37:$E$46,V7),I7&lt;=INDEX('Fee Rules'!$E$37:$E$46,V7)),INDEX('Fee Rules'!$D$37:$D$46,V7),INDEX('Fee Rules'!$H$37:$H$46,V7)))+0.00000001,2))</f>
        <v/>
      </c>
      <c r="X7" s="78">
        <f>IF(V7="","",IF(AND(INDEX('Fee Rules'!$I$37:$I$46,V7)&lt;&gt;"",I7&gt;=INDEX('Fee Rules'!$I$37:$I$46,V7)),0,IF(I7&lt;='Fee Rules'!$C$13,'Fee Rules'!$C$11,'Fee Rules'!$C$12)))</f>
        <v/>
      </c>
      <c r="Y7" s="78">
        <f>IF(V7="","",W7+X7)</f>
        <v/>
      </c>
      <c r="Z7" s="78">
        <f>IF(OR(B7&lt;&gt;"Poshmark",F7=""),"",IF(F7&lt;'Fee Rules'!$C$16,'Fee Rules'!$C$15,ROUND(F7*'Fee Rules'!$C$17+0.00000001,2)))</f>
        <v/>
      </c>
      <c r="AA7" s="78">
        <f>IF(OR(B7&lt;&gt;"Mercari",F7=""),"",ROUND((F7+SUM(G7))*'Fee Rules'!$C$18+0.00000001,2))</f>
        <v/>
      </c>
      <c r="AB7" s="81">
        <f>IF(OR(B7&lt;&gt;"Whatnot",F7=""),"",INDEX('Fee Rules'!$C$53:$I$58,IFERROR(MATCH(D7,'Fee Rules'!$A$53:$A$58,0),MATCH("Other",'Fee Rules'!$A$53:$A$58,0)),IFERROR(MATCH(IF(E7="",'Fee Rules'!$C$21,E7),'Fee Rules'!$C$51:$I$51,0),1)))</f>
        <v/>
      </c>
      <c r="AC7" s="78">
        <f>IF(AB7="","",ROUND(F7*AB7+0.00000001,2)+IF(I7&gt;0,ROUND(I7*'Fee Rules'!$C$19+'Fee Rules'!$C$20+0.00000001,2),0))</f>
        <v/>
      </c>
      <c r="AD7" s="78">
        <f>IF(OR(B7&lt;&gt;"Depop",F7=""),"",ROUND(F7*'Fee Rules'!$C$22+0.00000001,2)+ROUND(I7*'Fee Rules'!$C$23+'Fee Rules'!$C$24+0.00000001,2)+IF(D7="Boosted",ROUND(F7*'Fee Rules'!$C$25+0.00000001,2),IF(D7="Boosted own label",ROUND((F7+SUM(G7))*'Fee Rules'!$C$25+0.00000001,2),0)))</f>
        <v/>
      </c>
      <c r="AE7" s="78">
        <f>IF(OR(B7&lt;&gt;"Etsy",F7=""),"",IF('Fee Rules'!$C$27="No",0,'Fee Rules'!$C$26)+ROUND((F7+SUM(G7))*'Fee Rules'!$C$28+0.00000001,2)+ROUND(I7*'Fee Rules'!$C$29+'Fee Rules'!$C$30+0.00000001,2))</f>
        <v/>
      </c>
      <c r="AF7" s="67">
        <f>IF(D7="","",IF(OR(AND(B7="eBay",COUNTIF('Fee Rules'!$A$37:$A$46,D7)&gt;0),AND(B7="Whatnot",COUNTIF('Fee Rules'!$A$53:$A$58,D7)&gt;0),AND(B7="Depop",OR(D7="Boosted",D7="Boosted own label"))),"","Option not used for "&amp;B7))</f>
        <v/>
      </c>
    </row>
    <row r="8">
      <c r="A8" s="76" t="n">
        <v>46270</v>
      </c>
      <c r="B8" s="41" t="inlineStr">
        <is>
          <t>Mercari</t>
        </is>
      </c>
      <c r="C8" s="41" t="inlineStr">
        <is>
          <t>Handheld game console</t>
        </is>
      </c>
      <c r="D8" s="41" t="n"/>
      <c r="E8" s="41" t="n"/>
      <c r="F8" s="77" t="n">
        <v>55</v>
      </c>
      <c r="G8" s="77" t="n">
        <v>8.99</v>
      </c>
      <c r="H8" s="77" t="n"/>
      <c r="I8" s="78">
        <f>IF(F8="","",F8+SUM(G8)+SUM(H8))</f>
        <v/>
      </c>
      <c r="J8" s="78">
        <f>IF(F8="","",IF(B8="eBay",Y8,IF(B8="Poshmark",Z8,IF(B8="Mercari",AA8,IF(B8="Whatnot",AC8,IF(B8="Depop",AD8,IF(B8="Etsy",AE8,"n/a")))))))</f>
        <v/>
      </c>
      <c r="K8" s="77" t="n"/>
      <c r="L8" s="78">
        <f>IF(F8="","",IF(K8&lt;&gt;"",K8,IF(ISNUMBER(J8),J8,0)))</f>
        <v/>
      </c>
      <c r="M8" s="78">
        <f>IF(F8="","",F8+IF(B8="Poshmark",0,SUM(G8))-L8)</f>
        <v/>
      </c>
      <c r="N8" s="77" t="n">
        <v>7.65</v>
      </c>
      <c r="O8" s="77" t="n">
        <v>18</v>
      </c>
      <c r="P8" s="77" t="n"/>
      <c r="Q8" s="78">
        <f>IF(F8="","",F8+IF(B8="Poshmark",0,SUM(G8)))</f>
        <v/>
      </c>
      <c r="R8" s="78">
        <f>IF(F8="","",IF(B8="Poshmark",SUM(N8),IF(N8="",SUM(G8),N8)))</f>
        <v/>
      </c>
      <c r="S8" s="79">
        <f>IF(F8="","",M8-R8-SUM(P8)-SUM(O8))</f>
        <v/>
      </c>
      <c r="T8" s="80">
        <f>IF(OR(F8="",Q8=0),"",S8/Q8)</f>
        <v/>
      </c>
      <c r="V8" s="67">
        <f>IF(OR(B8&lt;&gt;"eBay",F8=""),"",IFERROR(MATCH(D8,'Fee Rules'!$A$37:$A$46,0),MATCH("Most",'Fee Rules'!$A$37:$A$46,0)))</f>
        <v/>
      </c>
      <c r="W8" s="78">
        <f>IF(V8="","",ROUND(IF(INDEX('Fee Rules'!$C$37:$C$46,V8)="Tiered",MIN(I8,INDEX('Fee Rules'!$E$37:$E$46,V8))*INDEX('Fee Rules'!$D$37:$D$46,V8)+MAX(0,MIN(I8,IF(INDEX('Fee Rules'!$G$37:$G$46,V8)="",INDEX('Fee Rules'!$E$37:$E$46,V8),INDEX('Fee Rules'!$G$37:$G$46,V8)))-INDEX('Fee Rules'!$E$37:$E$46,V8))*IF(INDEX('Fee Rules'!$F$37:$F$46,V8)="",0,INDEX('Fee Rules'!$F$37:$F$46,V8))+MAX(0,I8-IF(INDEX('Fee Rules'!$G$37:$G$46,V8)="",INDEX('Fee Rules'!$E$37:$E$46,V8),INDEX('Fee Rules'!$G$37:$G$46,V8)))*INDEX('Fee Rules'!$H$37:$H$46,V8),I8*IF(IF(INDEX('Fee Rules'!$C$37:$C$46,V8)="Whole amount (total &lt; limit)",I8&lt;INDEX('Fee Rules'!$E$37:$E$46,V8),I8&lt;=INDEX('Fee Rules'!$E$37:$E$46,V8)),INDEX('Fee Rules'!$D$37:$D$46,V8),INDEX('Fee Rules'!$H$37:$H$46,V8)))+0.00000001,2))</f>
        <v/>
      </c>
      <c r="X8" s="78">
        <f>IF(V8="","",IF(AND(INDEX('Fee Rules'!$I$37:$I$46,V8)&lt;&gt;"",I8&gt;=INDEX('Fee Rules'!$I$37:$I$46,V8)),0,IF(I8&lt;='Fee Rules'!$C$13,'Fee Rules'!$C$11,'Fee Rules'!$C$12)))</f>
        <v/>
      </c>
      <c r="Y8" s="78">
        <f>IF(V8="","",W8+X8)</f>
        <v/>
      </c>
      <c r="Z8" s="78">
        <f>IF(OR(B8&lt;&gt;"Poshmark",F8=""),"",IF(F8&lt;'Fee Rules'!$C$16,'Fee Rules'!$C$15,ROUND(F8*'Fee Rules'!$C$17+0.00000001,2)))</f>
        <v/>
      </c>
      <c r="AA8" s="78">
        <f>IF(OR(B8&lt;&gt;"Mercari",F8=""),"",ROUND((F8+SUM(G8))*'Fee Rules'!$C$18+0.00000001,2))</f>
        <v/>
      </c>
      <c r="AB8" s="81">
        <f>IF(OR(B8&lt;&gt;"Whatnot",F8=""),"",INDEX('Fee Rules'!$C$53:$I$58,IFERROR(MATCH(D8,'Fee Rules'!$A$53:$A$58,0),MATCH("Other",'Fee Rules'!$A$53:$A$58,0)),IFERROR(MATCH(IF(E8="",'Fee Rules'!$C$21,E8),'Fee Rules'!$C$51:$I$51,0),1)))</f>
        <v/>
      </c>
      <c r="AC8" s="78">
        <f>IF(AB8="","",ROUND(F8*AB8+0.00000001,2)+IF(I8&gt;0,ROUND(I8*'Fee Rules'!$C$19+'Fee Rules'!$C$20+0.00000001,2),0))</f>
        <v/>
      </c>
      <c r="AD8" s="78">
        <f>IF(OR(B8&lt;&gt;"Depop",F8=""),"",ROUND(F8*'Fee Rules'!$C$22+0.00000001,2)+ROUND(I8*'Fee Rules'!$C$23+'Fee Rules'!$C$24+0.00000001,2)+IF(D8="Boosted",ROUND(F8*'Fee Rules'!$C$25+0.00000001,2),IF(D8="Boosted own label",ROUND((F8+SUM(G8))*'Fee Rules'!$C$25+0.00000001,2),0)))</f>
        <v/>
      </c>
      <c r="AE8" s="78">
        <f>IF(OR(B8&lt;&gt;"Etsy",F8=""),"",IF('Fee Rules'!$C$27="No",0,'Fee Rules'!$C$26)+ROUND((F8+SUM(G8))*'Fee Rules'!$C$28+0.00000001,2)+ROUND(I8*'Fee Rules'!$C$29+'Fee Rules'!$C$30+0.00000001,2))</f>
        <v/>
      </c>
      <c r="AF8" s="67">
        <f>IF(D8="","",IF(OR(AND(B8="eBay",COUNTIF('Fee Rules'!$A$37:$A$46,D8)&gt;0),AND(B8="Whatnot",COUNTIF('Fee Rules'!$A$53:$A$58,D8)&gt;0),AND(B8="Depop",OR(D8="Boosted",D8="Boosted own label"))),"","Option not used for "&amp;B8))</f>
        <v/>
      </c>
    </row>
    <row r="9">
      <c r="A9" s="76" t="n">
        <v>46271</v>
      </c>
      <c r="B9" s="41" t="inlineStr">
        <is>
          <t>Whatnot</t>
        </is>
      </c>
      <c r="C9" s="41" t="inlineStr">
        <is>
          <t>Graded rookie card</t>
        </is>
      </c>
      <c r="D9" s="41" t="inlineStr">
        <is>
          <t>Sports</t>
        </is>
      </c>
      <c r="E9" s="41" t="n"/>
      <c r="F9" s="77" t="n">
        <v>60</v>
      </c>
      <c r="G9" s="77" t="n">
        <v>4.99</v>
      </c>
      <c r="H9" s="77" t="n">
        <v>4.8</v>
      </c>
      <c r="I9" s="78">
        <f>IF(F9="","",F9+SUM(G9)+SUM(H9))</f>
        <v/>
      </c>
      <c r="J9" s="78">
        <f>IF(F9="","",IF(B9="eBay",Y9,IF(B9="Poshmark",Z9,IF(B9="Mercari",AA9,IF(B9="Whatnot",AC9,IF(B9="Depop",AD9,IF(B9="Etsy",AE9,"n/a")))))))</f>
        <v/>
      </c>
      <c r="K9" s="77" t="n"/>
      <c r="L9" s="78">
        <f>IF(F9="","",IF(K9&lt;&gt;"",K9,IF(ISNUMBER(J9),J9,0)))</f>
        <v/>
      </c>
      <c r="M9" s="78">
        <f>IF(F9="","",F9+IF(B9="Poshmark",0,SUM(G9))-L9)</f>
        <v/>
      </c>
      <c r="N9" s="77" t="n"/>
      <c r="O9" s="77" t="n">
        <v>22</v>
      </c>
      <c r="P9" s="77" t="n"/>
      <c r="Q9" s="78">
        <f>IF(F9="","",F9+IF(B9="Poshmark",0,SUM(G9)))</f>
        <v/>
      </c>
      <c r="R9" s="78">
        <f>IF(F9="","",IF(B9="Poshmark",SUM(N9),IF(N9="",SUM(G9),N9)))</f>
        <v/>
      </c>
      <c r="S9" s="79">
        <f>IF(F9="","",M9-R9-SUM(P9)-SUM(O9))</f>
        <v/>
      </c>
      <c r="T9" s="80">
        <f>IF(OR(F9="",Q9=0),"",S9/Q9)</f>
        <v/>
      </c>
      <c r="V9" s="67">
        <f>IF(OR(B9&lt;&gt;"eBay",F9=""),"",IFERROR(MATCH(D9,'Fee Rules'!$A$37:$A$46,0),MATCH("Most",'Fee Rules'!$A$37:$A$46,0)))</f>
        <v/>
      </c>
      <c r="W9" s="78">
        <f>IF(V9="","",ROUND(IF(INDEX('Fee Rules'!$C$37:$C$46,V9)="Tiered",MIN(I9,INDEX('Fee Rules'!$E$37:$E$46,V9))*INDEX('Fee Rules'!$D$37:$D$46,V9)+MAX(0,MIN(I9,IF(INDEX('Fee Rules'!$G$37:$G$46,V9)="",INDEX('Fee Rules'!$E$37:$E$46,V9),INDEX('Fee Rules'!$G$37:$G$46,V9)))-INDEX('Fee Rules'!$E$37:$E$46,V9))*IF(INDEX('Fee Rules'!$F$37:$F$46,V9)="",0,INDEX('Fee Rules'!$F$37:$F$46,V9))+MAX(0,I9-IF(INDEX('Fee Rules'!$G$37:$G$46,V9)="",INDEX('Fee Rules'!$E$37:$E$46,V9),INDEX('Fee Rules'!$G$37:$G$46,V9)))*INDEX('Fee Rules'!$H$37:$H$46,V9),I9*IF(IF(INDEX('Fee Rules'!$C$37:$C$46,V9)="Whole amount (total &lt; limit)",I9&lt;INDEX('Fee Rules'!$E$37:$E$46,V9),I9&lt;=INDEX('Fee Rules'!$E$37:$E$46,V9)),INDEX('Fee Rules'!$D$37:$D$46,V9),INDEX('Fee Rules'!$H$37:$H$46,V9)))+0.00000001,2))</f>
        <v/>
      </c>
      <c r="X9" s="78">
        <f>IF(V9="","",IF(AND(INDEX('Fee Rules'!$I$37:$I$46,V9)&lt;&gt;"",I9&gt;=INDEX('Fee Rules'!$I$37:$I$46,V9)),0,IF(I9&lt;='Fee Rules'!$C$13,'Fee Rules'!$C$11,'Fee Rules'!$C$12)))</f>
        <v/>
      </c>
      <c r="Y9" s="78">
        <f>IF(V9="","",W9+X9)</f>
        <v/>
      </c>
      <c r="Z9" s="78">
        <f>IF(OR(B9&lt;&gt;"Poshmark",F9=""),"",IF(F9&lt;'Fee Rules'!$C$16,'Fee Rules'!$C$15,ROUND(F9*'Fee Rules'!$C$17+0.00000001,2)))</f>
        <v/>
      </c>
      <c r="AA9" s="78">
        <f>IF(OR(B9&lt;&gt;"Mercari",F9=""),"",ROUND((F9+SUM(G9))*'Fee Rules'!$C$18+0.00000001,2))</f>
        <v/>
      </c>
      <c r="AB9" s="81">
        <f>IF(OR(B9&lt;&gt;"Whatnot",F9=""),"",INDEX('Fee Rules'!$C$53:$I$58,IFERROR(MATCH(D9,'Fee Rules'!$A$53:$A$58,0),MATCH("Other",'Fee Rules'!$A$53:$A$58,0)),IFERROR(MATCH(IF(E9="",'Fee Rules'!$C$21,E9),'Fee Rules'!$C$51:$I$51,0),1)))</f>
        <v/>
      </c>
      <c r="AC9" s="78">
        <f>IF(AB9="","",ROUND(F9*AB9+0.00000001,2)+IF(I9&gt;0,ROUND(I9*'Fee Rules'!$C$19+'Fee Rules'!$C$20+0.00000001,2),0))</f>
        <v/>
      </c>
      <c r="AD9" s="78">
        <f>IF(OR(B9&lt;&gt;"Depop",F9=""),"",ROUND(F9*'Fee Rules'!$C$22+0.00000001,2)+ROUND(I9*'Fee Rules'!$C$23+'Fee Rules'!$C$24+0.00000001,2)+IF(D9="Boosted",ROUND(F9*'Fee Rules'!$C$25+0.00000001,2),IF(D9="Boosted own label",ROUND((F9+SUM(G9))*'Fee Rules'!$C$25+0.00000001,2),0)))</f>
        <v/>
      </c>
      <c r="AE9" s="78">
        <f>IF(OR(B9&lt;&gt;"Etsy",F9=""),"",IF('Fee Rules'!$C$27="No",0,'Fee Rules'!$C$26)+ROUND((F9+SUM(G9))*'Fee Rules'!$C$28+0.00000001,2)+ROUND(I9*'Fee Rules'!$C$29+'Fee Rules'!$C$30+0.00000001,2))</f>
        <v/>
      </c>
      <c r="AF9" s="67">
        <f>IF(D9="","",IF(OR(AND(B9="eBay",COUNTIF('Fee Rules'!$A$37:$A$46,D9)&gt;0),AND(B9="Whatnot",COUNTIF('Fee Rules'!$A$53:$A$58,D9)&gt;0),AND(B9="Depop",OR(D9="Boosted",D9="Boosted own label"))),"","Option not used for "&amp;B9))</f>
        <v/>
      </c>
    </row>
    <row r="10">
      <c r="A10" s="76" t="n">
        <v>46273</v>
      </c>
      <c r="B10" s="41" t="inlineStr">
        <is>
          <t>Depop</t>
        </is>
      </c>
      <c r="C10" s="41" t="inlineStr">
        <is>
          <t>Y2K graphic tee</t>
        </is>
      </c>
      <c r="D10" s="41" t="inlineStr">
        <is>
          <t>Boosted</t>
        </is>
      </c>
      <c r="E10" s="41" t="n"/>
      <c r="F10" s="77" t="n">
        <v>28</v>
      </c>
      <c r="G10" s="77" t="n">
        <v>6.5</v>
      </c>
      <c r="H10" s="77" t="n">
        <v>2.3</v>
      </c>
      <c r="I10" s="78">
        <f>IF(F10="","",F10+SUM(G10)+SUM(H10))</f>
        <v/>
      </c>
      <c r="J10" s="78">
        <f>IF(F10="","",IF(B10="eBay",Y10,IF(B10="Poshmark",Z10,IF(B10="Mercari",AA10,IF(B10="Whatnot",AC10,IF(B10="Depop",AD10,IF(B10="Etsy",AE10,"n/a")))))))</f>
        <v/>
      </c>
      <c r="K10" s="77" t="n"/>
      <c r="L10" s="78">
        <f>IF(F10="","",IF(K10&lt;&gt;"",K10,IF(ISNUMBER(J10),J10,0)))</f>
        <v/>
      </c>
      <c r="M10" s="78">
        <f>IF(F10="","",F10+IF(B10="Poshmark",0,SUM(G10))-L10)</f>
        <v/>
      </c>
      <c r="N10" s="77" t="n"/>
      <c r="O10" s="77" t="n">
        <v>3</v>
      </c>
      <c r="P10" s="77" t="n"/>
      <c r="Q10" s="78">
        <f>IF(F10="","",F10+IF(B10="Poshmark",0,SUM(G10)))</f>
        <v/>
      </c>
      <c r="R10" s="78">
        <f>IF(F10="","",IF(B10="Poshmark",SUM(N10),IF(N10="",SUM(G10),N10)))</f>
        <v/>
      </c>
      <c r="S10" s="79">
        <f>IF(F10="","",M10-R10-SUM(P10)-SUM(O10))</f>
        <v/>
      </c>
      <c r="T10" s="80">
        <f>IF(OR(F10="",Q10=0),"",S10/Q10)</f>
        <v/>
      </c>
      <c r="V10" s="67">
        <f>IF(OR(B10&lt;&gt;"eBay",F10=""),"",IFERROR(MATCH(D10,'Fee Rules'!$A$37:$A$46,0),MATCH("Most",'Fee Rules'!$A$37:$A$46,0)))</f>
        <v/>
      </c>
      <c r="W10" s="78">
        <f>IF(V10="","",ROUND(IF(INDEX('Fee Rules'!$C$37:$C$46,V10)="Tiered",MIN(I10,INDEX('Fee Rules'!$E$37:$E$46,V10))*INDEX('Fee Rules'!$D$37:$D$46,V10)+MAX(0,MIN(I10,IF(INDEX('Fee Rules'!$G$37:$G$46,V10)="",INDEX('Fee Rules'!$E$37:$E$46,V10),INDEX('Fee Rules'!$G$37:$G$46,V10)))-INDEX('Fee Rules'!$E$37:$E$46,V10))*IF(INDEX('Fee Rules'!$F$37:$F$46,V10)="",0,INDEX('Fee Rules'!$F$37:$F$46,V10))+MAX(0,I10-IF(INDEX('Fee Rules'!$G$37:$G$46,V10)="",INDEX('Fee Rules'!$E$37:$E$46,V10),INDEX('Fee Rules'!$G$37:$G$46,V10)))*INDEX('Fee Rules'!$H$37:$H$46,V10),I10*IF(IF(INDEX('Fee Rules'!$C$37:$C$46,V10)="Whole amount (total &lt; limit)",I10&lt;INDEX('Fee Rules'!$E$37:$E$46,V10),I10&lt;=INDEX('Fee Rules'!$E$37:$E$46,V10)),INDEX('Fee Rules'!$D$37:$D$46,V10),INDEX('Fee Rules'!$H$37:$H$46,V10)))+0.00000001,2))</f>
        <v/>
      </c>
      <c r="X10" s="78">
        <f>IF(V10="","",IF(AND(INDEX('Fee Rules'!$I$37:$I$46,V10)&lt;&gt;"",I10&gt;=INDEX('Fee Rules'!$I$37:$I$46,V10)),0,IF(I10&lt;='Fee Rules'!$C$13,'Fee Rules'!$C$11,'Fee Rules'!$C$12)))</f>
        <v/>
      </c>
      <c r="Y10" s="78">
        <f>IF(V10="","",W10+X10)</f>
        <v/>
      </c>
      <c r="Z10" s="78">
        <f>IF(OR(B10&lt;&gt;"Poshmark",F10=""),"",IF(F10&lt;'Fee Rules'!$C$16,'Fee Rules'!$C$15,ROUND(F10*'Fee Rules'!$C$17+0.00000001,2)))</f>
        <v/>
      </c>
      <c r="AA10" s="78">
        <f>IF(OR(B10&lt;&gt;"Mercari",F10=""),"",ROUND((F10+SUM(G10))*'Fee Rules'!$C$18+0.00000001,2))</f>
        <v/>
      </c>
      <c r="AB10" s="81">
        <f>IF(OR(B10&lt;&gt;"Whatnot",F10=""),"",INDEX('Fee Rules'!$C$53:$I$58,IFERROR(MATCH(D10,'Fee Rules'!$A$53:$A$58,0),MATCH("Other",'Fee Rules'!$A$53:$A$58,0)),IFERROR(MATCH(IF(E10="",'Fee Rules'!$C$21,E10),'Fee Rules'!$C$51:$I$51,0),1)))</f>
        <v/>
      </c>
      <c r="AC10" s="78">
        <f>IF(AB10="","",ROUND(F10*AB10+0.00000001,2)+IF(I10&gt;0,ROUND(I10*'Fee Rules'!$C$19+'Fee Rules'!$C$20+0.00000001,2),0))</f>
        <v/>
      </c>
      <c r="AD10" s="78">
        <f>IF(OR(B10&lt;&gt;"Depop",F10=""),"",ROUND(F10*'Fee Rules'!$C$22+0.00000001,2)+ROUND(I10*'Fee Rules'!$C$23+'Fee Rules'!$C$24+0.00000001,2)+IF(D10="Boosted",ROUND(F10*'Fee Rules'!$C$25+0.00000001,2),IF(D10="Boosted own label",ROUND((F10+SUM(G10))*'Fee Rules'!$C$25+0.00000001,2),0)))</f>
        <v/>
      </c>
      <c r="AE10" s="78">
        <f>IF(OR(B10&lt;&gt;"Etsy",F10=""),"",IF('Fee Rules'!$C$27="No",0,'Fee Rules'!$C$26)+ROUND((F10+SUM(G10))*'Fee Rules'!$C$28+0.00000001,2)+ROUND(I10*'Fee Rules'!$C$29+'Fee Rules'!$C$30+0.00000001,2))</f>
        <v/>
      </c>
      <c r="AF10" s="67">
        <f>IF(D10="","",IF(OR(AND(B10="eBay",COUNTIF('Fee Rules'!$A$37:$A$46,D10)&gt;0),AND(B10="Whatnot",COUNTIF('Fee Rules'!$A$53:$A$58,D10)&gt;0),AND(B10="Depop",OR(D10="Boosted",D10="Boosted own label"))),"","Option not used for "&amp;B10))</f>
        <v/>
      </c>
    </row>
    <row r="11">
      <c r="A11" s="76" t="n">
        <v>46274</v>
      </c>
      <c r="B11" s="41" t="inlineStr">
        <is>
          <t>Etsy</t>
        </is>
      </c>
      <c r="C11" s="41" t="inlineStr">
        <is>
          <t>Vintage brooch</t>
        </is>
      </c>
      <c r="D11" s="41" t="n"/>
      <c r="E11" s="41" t="n"/>
      <c r="F11" s="77" t="n">
        <v>24</v>
      </c>
      <c r="G11" s="77" t="n">
        <v>4.5</v>
      </c>
      <c r="H11" s="77" t="n">
        <v>1.9</v>
      </c>
      <c r="I11" s="78">
        <f>IF(F11="","",F11+SUM(G11)+SUM(H11))</f>
        <v/>
      </c>
      <c r="J11" s="78">
        <f>IF(F11="","",IF(B11="eBay",Y11,IF(B11="Poshmark",Z11,IF(B11="Mercari",AA11,IF(B11="Whatnot",AC11,IF(B11="Depop",AD11,IF(B11="Etsy",AE11,"n/a")))))))</f>
        <v/>
      </c>
      <c r="K11" s="77" t="n"/>
      <c r="L11" s="78">
        <f>IF(F11="","",IF(K11&lt;&gt;"",K11,IF(ISNUMBER(J11),J11,0)))</f>
        <v/>
      </c>
      <c r="M11" s="78">
        <f>IF(F11="","",F11+IF(B11="Poshmark",0,SUM(G11))-L11)</f>
        <v/>
      </c>
      <c r="N11" s="77" t="n">
        <v>4.1</v>
      </c>
      <c r="O11" s="77" t="n">
        <v>2.5</v>
      </c>
      <c r="P11" s="77" t="n"/>
      <c r="Q11" s="78">
        <f>IF(F11="","",F11+IF(B11="Poshmark",0,SUM(G11)))</f>
        <v/>
      </c>
      <c r="R11" s="78">
        <f>IF(F11="","",IF(B11="Poshmark",SUM(N11),IF(N11="",SUM(G11),N11)))</f>
        <v/>
      </c>
      <c r="S11" s="79">
        <f>IF(F11="","",M11-R11-SUM(P11)-SUM(O11))</f>
        <v/>
      </c>
      <c r="T11" s="80">
        <f>IF(OR(F11="",Q11=0),"",S11/Q11)</f>
        <v/>
      </c>
      <c r="V11" s="67">
        <f>IF(OR(B11&lt;&gt;"eBay",F11=""),"",IFERROR(MATCH(D11,'Fee Rules'!$A$37:$A$46,0),MATCH("Most",'Fee Rules'!$A$37:$A$46,0)))</f>
        <v/>
      </c>
      <c r="W11" s="78">
        <f>IF(V11="","",ROUND(IF(INDEX('Fee Rules'!$C$37:$C$46,V11)="Tiered",MIN(I11,INDEX('Fee Rules'!$E$37:$E$46,V11))*INDEX('Fee Rules'!$D$37:$D$46,V11)+MAX(0,MIN(I11,IF(INDEX('Fee Rules'!$G$37:$G$46,V11)="",INDEX('Fee Rules'!$E$37:$E$46,V11),INDEX('Fee Rules'!$G$37:$G$46,V11)))-INDEX('Fee Rules'!$E$37:$E$46,V11))*IF(INDEX('Fee Rules'!$F$37:$F$46,V11)="",0,INDEX('Fee Rules'!$F$37:$F$46,V11))+MAX(0,I11-IF(INDEX('Fee Rules'!$G$37:$G$46,V11)="",INDEX('Fee Rules'!$E$37:$E$46,V11),INDEX('Fee Rules'!$G$37:$G$46,V11)))*INDEX('Fee Rules'!$H$37:$H$46,V11),I11*IF(IF(INDEX('Fee Rules'!$C$37:$C$46,V11)="Whole amount (total &lt; limit)",I11&lt;INDEX('Fee Rules'!$E$37:$E$46,V11),I11&lt;=INDEX('Fee Rules'!$E$37:$E$46,V11)),INDEX('Fee Rules'!$D$37:$D$46,V11),INDEX('Fee Rules'!$H$37:$H$46,V11)))+0.00000001,2))</f>
        <v/>
      </c>
      <c r="X11" s="78">
        <f>IF(V11="","",IF(AND(INDEX('Fee Rules'!$I$37:$I$46,V11)&lt;&gt;"",I11&gt;=INDEX('Fee Rules'!$I$37:$I$46,V11)),0,IF(I11&lt;='Fee Rules'!$C$13,'Fee Rules'!$C$11,'Fee Rules'!$C$12)))</f>
        <v/>
      </c>
      <c r="Y11" s="78">
        <f>IF(V11="","",W11+X11)</f>
        <v/>
      </c>
      <c r="Z11" s="78">
        <f>IF(OR(B11&lt;&gt;"Poshmark",F11=""),"",IF(F11&lt;'Fee Rules'!$C$16,'Fee Rules'!$C$15,ROUND(F11*'Fee Rules'!$C$17+0.00000001,2)))</f>
        <v/>
      </c>
      <c r="AA11" s="78">
        <f>IF(OR(B11&lt;&gt;"Mercari",F11=""),"",ROUND((F11+SUM(G11))*'Fee Rules'!$C$18+0.00000001,2))</f>
        <v/>
      </c>
      <c r="AB11" s="81">
        <f>IF(OR(B11&lt;&gt;"Whatnot",F11=""),"",INDEX('Fee Rules'!$C$53:$I$58,IFERROR(MATCH(D11,'Fee Rules'!$A$53:$A$58,0),MATCH("Other",'Fee Rules'!$A$53:$A$58,0)),IFERROR(MATCH(IF(E11="",'Fee Rules'!$C$21,E11),'Fee Rules'!$C$51:$I$51,0),1)))</f>
        <v/>
      </c>
      <c r="AC11" s="78">
        <f>IF(AB11="","",ROUND(F11*AB11+0.00000001,2)+IF(I11&gt;0,ROUND(I11*'Fee Rules'!$C$19+'Fee Rules'!$C$20+0.00000001,2),0))</f>
        <v/>
      </c>
      <c r="AD11" s="78">
        <f>IF(OR(B11&lt;&gt;"Depop",F11=""),"",ROUND(F11*'Fee Rules'!$C$22+0.00000001,2)+ROUND(I11*'Fee Rules'!$C$23+'Fee Rules'!$C$24+0.00000001,2)+IF(D11="Boosted",ROUND(F11*'Fee Rules'!$C$25+0.00000001,2),IF(D11="Boosted own label",ROUND((F11+SUM(G11))*'Fee Rules'!$C$25+0.00000001,2),0)))</f>
        <v/>
      </c>
      <c r="AE11" s="78">
        <f>IF(OR(B11&lt;&gt;"Etsy",F11=""),"",IF('Fee Rules'!$C$27="No",0,'Fee Rules'!$C$26)+ROUND((F11+SUM(G11))*'Fee Rules'!$C$28+0.00000001,2)+ROUND(I11*'Fee Rules'!$C$29+'Fee Rules'!$C$30+0.00000001,2))</f>
        <v/>
      </c>
      <c r="AF11" s="67">
        <f>IF(D11="","",IF(OR(AND(B11="eBay",COUNTIF('Fee Rules'!$A$37:$A$46,D11)&gt;0),AND(B11="Whatnot",COUNTIF('Fee Rules'!$A$53:$A$58,D11)&gt;0),AND(B11="Depop",OR(D11="Boosted",D11="Boosted own label"))),"","Option not used for "&amp;B11))</f>
        <v/>
      </c>
    </row>
    <row r="12">
      <c r="A12" s="76" t="n">
        <v>46275</v>
      </c>
      <c r="B12" s="41" t="inlineStr">
        <is>
          <t>eBay</t>
        </is>
      </c>
      <c r="C12" s="41" t="inlineStr">
        <is>
          <t>Trading card lot</t>
        </is>
      </c>
      <c r="D12" s="41" t="inlineStr">
        <is>
          <t>Trading cards</t>
        </is>
      </c>
      <c r="E12" s="41" t="n"/>
      <c r="F12" s="77" t="n">
        <v>75</v>
      </c>
      <c r="G12" s="77" t="n">
        <v>5</v>
      </c>
      <c r="H12" s="77" t="n">
        <v>6.4</v>
      </c>
      <c r="I12" s="78">
        <f>IF(F12="","",F12+SUM(G12)+SUM(H12))</f>
        <v/>
      </c>
      <c r="J12" s="78">
        <f>IF(F12="","",IF(B12="eBay",Y12,IF(B12="Poshmark",Z12,IF(B12="Mercari",AA12,IF(B12="Whatnot",AC12,IF(B12="Depop",AD12,IF(B12="Etsy",AE12,"n/a")))))))</f>
        <v/>
      </c>
      <c r="K12" s="77" t="n"/>
      <c r="L12" s="78">
        <f>IF(F12="","",IF(K12&lt;&gt;"",K12,IF(ISNUMBER(J12),J12,0)))</f>
        <v/>
      </c>
      <c r="M12" s="78">
        <f>IF(F12="","",F12+IF(B12="Poshmark",0,SUM(G12))-L12)</f>
        <v/>
      </c>
      <c r="N12" s="77" t="n">
        <v>4.85</v>
      </c>
      <c r="O12" s="77" t="n">
        <v>30</v>
      </c>
      <c r="P12" s="77" t="n"/>
      <c r="Q12" s="78">
        <f>IF(F12="","",F12+IF(B12="Poshmark",0,SUM(G12)))</f>
        <v/>
      </c>
      <c r="R12" s="78">
        <f>IF(F12="","",IF(B12="Poshmark",SUM(N12),IF(N12="",SUM(G12),N12)))</f>
        <v/>
      </c>
      <c r="S12" s="79">
        <f>IF(F12="","",M12-R12-SUM(P12)-SUM(O12))</f>
        <v/>
      </c>
      <c r="T12" s="80">
        <f>IF(OR(F12="",Q12=0),"",S12/Q12)</f>
        <v/>
      </c>
      <c r="V12" s="67">
        <f>IF(OR(B12&lt;&gt;"eBay",F12=""),"",IFERROR(MATCH(D12,'Fee Rules'!$A$37:$A$46,0),MATCH("Most",'Fee Rules'!$A$37:$A$46,0)))</f>
        <v/>
      </c>
      <c r="W12" s="78">
        <f>IF(V12="","",ROUND(IF(INDEX('Fee Rules'!$C$37:$C$46,V12)="Tiered",MIN(I12,INDEX('Fee Rules'!$E$37:$E$46,V12))*INDEX('Fee Rules'!$D$37:$D$46,V12)+MAX(0,MIN(I12,IF(INDEX('Fee Rules'!$G$37:$G$46,V12)="",INDEX('Fee Rules'!$E$37:$E$46,V12),INDEX('Fee Rules'!$G$37:$G$46,V12)))-INDEX('Fee Rules'!$E$37:$E$46,V12))*IF(INDEX('Fee Rules'!$F$37:$F$46,V12)="",0,INDEX('Fee Rules'!$F$37:$F$46,V12))+MAX(0,I12-IF(INDEX('Fee Rules'!$G$37:$G$46,V12)="",INDEX('Fee Rules'!$E$37:$E$46,V12),INDEX('Fee Rules'!$G$37:$G$46,V12)))*INDEX('Fee Rules'!$H$37:$H$46,V12),I12*IF(IF(INDEX('Fee Rules'!$C$37:$C$46,V12)="Whole amount (total &lt; limit)",I12&lt;INDEX('Fee Rules'!$E$37:$E$46,V12),I12&lt;=INDEX('Fee Rules'!$E$37:$E$46,V12)),INDEX('Fee Rules'!$D$37:$D$46,V12),INDEX('Fee Rules'!$H$37:$H$46,V12)))+0.00000001,2))</f>
        <v/>
      </c>
      <c r="X12" s="78">
        <f>IF(V12="","",IF(AND(INDEX('Fee Rules'!$I$37:$I$46,V12)&lt;&gt;"",I12&gt;=INDEX('Fee Rules'!$I$37:$I$46,V12)),0,IF(I12&lt;='Fee Rules'!$C$13,'Fee Rules'!$C$11,'Fee Rules'!$C$12)))</f>
        <v/>
      </c>
      <c r="Y12" s="78">
        <f>IF(V12="","",W12+X12)</f>
        <v/>
      </c>
      <c r="Z12" s="78">
        <f>IF(OR(B12&lt;&gt;"Poshmark",F12=""),"",IF(F12&lt;'Fee Rules'!$C$16,'Fee Rules'!$C$15,ROUND(F12*'Fee Rules'!$C$17+0.00000001,2)))</f>
        <v/>
      </c>
      <c r="AA12" s="78">
        <f>IF(OR(B12&lt;&gt;"Mercari",F12=""),"",ROUND((F12+SUM(G12))*'Fee Rules'!$C$18+0.00000001,2))</f>
        <v/>
      </c>
      <c r="AB12" s="81">
        <f>IF(OR(B12&lt;&gt;"Whatnot",F12=""),"",INDEX('Fee Rules'!$C$53:$I$58,IFERROR(MATCH(D12,'Fee Rules'!$A$53:$A$58,0),MATCH("Other",'Fee Rules'!$A$53:$A$58,0)),IFERROR(MATCH(IF(E12="",'Fee Rules'!$C$21,E12),'Fee Rules'!$C$51:$I$51,0),1)))</f>
        <v/>
      </c>
      <c r="AC12" s="78">
        <f>IF(AB12="","",ROUND(F12*AB12+0.00000001,2)+IF(I12&gt;0,ROUND(I12*'Fee Rules'!$C$19+'Fee Rules'!$C$20+0.00000001,2),0))</f>
        <v/>
      </c>
      <c r="AD12" s="78">
        <f>IF(OR(B12&lt;&gt;"Depop",F12=""),"",ROUND(F12*'Fee Rules'!$C$22+0.00000001,2)+ROUND(I12*'Fee Rules'!$C$23+'Fee Rules'!$C$24+0.00000001,2)+IF(D12="Boosted",ROUND(F12*'Fee Rules'!$C$25+0.00000001,2),IF(D12="Boosted own label",ROUND((F12+SUM(G12))*'Fee Rules'!$C$25+0.00000001,2),0)))</f>
        <v/>
      </c>
      <c r="AE12" s="78">
        <f>IF(OR(B12&lt;&gt;"Etsy",F12=""),"",IF('Fee Rules'!$C$27="No",0,'Fee Rules'!$C$26)+ROUND((F12+SUM(G12))*'Fee Rules'!$C$28+0.00000001,2)+ROUND(I12*'Fee Rules'!$C$29+'Fee Rules'!$C$30+0.00000001,2))</f>
        <v/>
      </c>
      <c r="AF12" s="67">
        <f>IF(D12="","",IF(OR(AND(B12="eBay",COUNTIF('Fee Rules'!$A$37:$A$46,D12)&gt;0),AND(B12="Whatnot",COUNTIF('Fee Rules'!$A$53:$A$58,D12)&gt;0),AND(B12="Depop",OR(D12="Boosted",D12="Boosted own label"))),"","Option not used for "&amp;B12))</f>
        <v/>
      </c>
    </row>
    <row r="13">
      <c r="A13" s="76" t="n">
        <v>46276</v>
      </c>
      <c r="B13" s="41" t="inlineStr">
        <is>
          <t>Facebook Marketplace</t>
        </is>
      </c>
      <c r="C13" s="41" t="inlineStr">
        <is>
          <t>Oak side table</t>
        </is>
      </c>
      <c r="D13" s="41" t="n"/>
      <c r="E13" s="41" t="n"/>
      <c r="F13" s="77" t="n">
        <v>65</v>
      </c>
      <c r="G13" s="77" t="n"/>
      <c r="H13" s="77" t="n"/>
      <c r="I13" s="78">
        <f>IF(F13="","",F13+SUM(G13)+SUM(H13))</f>
        <v/>
      </c>
      <c r="J13" s="78">
        <f>IF(F13="","",IF(B13="eBay",Y13,IF(B13="Poshmark",Z13,IF(B13="Mercari",AA13,IF(B13="Whatnot",AC13,IF(B13="Depop",AD13,IF(B13="Etsy",AE13,"n/a")))))))</f>
        <v/>
      </c>
      <c r="K13" s="77" t="n">
        <v>0</v>
      </c>
      <c r="L13" s="78">
        <f>IF(F13="","",IF(K13&lt;&gt;"",K13,IF(ISNUMBER(J13),J13,0)))</f>
        <v/>
      </c>
      <c r="M13" s="78">
        <f>IF(F13="","",F13+IF(B13="Poshmark",0,SUM(G13))-L13)</f>
        <v/>
      </c>
      <c r="N13" s="77" t="n"/>
      <c r="O13" s="77" t="n">
        <v>15</v>
      </c>
      <c r="P13" s="77" t="n"/>
      <c r="Q13" s="78">
        <f>IF(F13="","",F13+IF(B13="Poshmark",0,SUM(G13)))</f>
        <v/>
      </c>
      <c r="R13" s="78">
        <f>IF(F13="","",IF(B13="Poshmark",SUM(N13),IF(N13="",SUM(G13),N13)))</f>
        <v/>
      </c>
      <c r="S13" s="79">
        <f>IF(F13="","",M13-R13-SUM(P13)-SUM(O13))</f>
        <v/>
      </c>
      <c r="T13" s="80">
        <f>IF(OR(F13="",Q13=0),"",S13/Q13)</f>
        <v/>
      </c>
      <c r="V13" s="67">
        <f>IF(OR(B13&lt;&gt;"eBay",F13=""),"",IFERROR(MATCH(D13,'Fee Rules'!$A$37:$A$46,0),MATCH("Most",'Fee Rules'!$A$37:$A$46,0)))</f>
        <v/>
      </c>
      <c r="W13" s="78">
        <f>IF(V13="","",ROUND(IF(INDEX('Fee Rules'!$C$37:$C$46,V13)="Tiered",MIN(I13,INDEX('Fee Rules'!$E$37:$E$46,V13))*INDEX('Fee Rules'!$D$37:$D$46,V13)+MAX(0,MIN(I13,IF(INDEX('Fee Rules'!$G$37:$G$46,V13)="",INDEX('Fee Rules'!$E$37:$E$46,V13),INDEX('Fee Rules'!$G$37:$G$46,V13)))-INDEX('Fee Rules'!$E$37:$E$46,V13))*IF(INDEX('Fee Rules'!$F$37:$F$46,V13)="",0,INDEX('Fee Rules'!$F$37:$F$46,V13))+MAX(0,I13-IF(INDEX('Fee Rules'!$G$37:$G$46,V13)="",INDEX('Fee Rules'!$E$37:$E$46,V13),INDEX('Fee Rules'!$G$37:$G$46,V13)))*INDEX('Fee Rules'!$H$37:$H$46,V13),I13*IF(IF(INDEX('Fee Rules'!$C$37:$C$46,V13)="Whole amount (total &lt; limit)",I13&lt;INDEX('Fee Rules'!$E$37:$E$46,V13),I13&lt;=INDEX('Fee Rules'!$E$37:$E$46,V13)),INDEX('Fee Rules'!$D$37:$D$46,V13),INDEX('Fee Rules'!$H$37:$H$46,V13)))+0.00000001,2))</f>
        <v/>
      </c>
      <c r="X13" s="78">
        <f>IF(V13="","",IF(AND(INDEX('Fee Rules'!$I$37:$I$46,V13)&lt;&gt;"",I13&gt;=INDEX('Fee Rules'!$I$37:$I$46,V13)),0,IF(I13&lt;='Fee Rules'!$C$13,'Fee Rules'!$C$11,'Fee Rules'!$C$12)))</f>
        <v/>
      </c>
      <c r="Y13" s="78">
        <f>IF(V13="","",W13+X13)</f>
        <v/>
      </c>
      <c r="Z13" s="78">
        <f>IF(OR(B13&lt;&gt;"Poshmark",F13=""),"",IF(F13&lt;'Fee Rules'!$C$16,'Fee Rules'!$C$15,ROUND(F13*'Fee Rules'!$C$17+0.00000001,2)))</f>
        <v/>
      </c>
      <c r="AA13" s="78">
        <f>IF(OR(B13&lt;&gt;"Mercari",F13=""),"",ROUND((F13+SUM(G13))*'Fee Rules'!$C$18+0.00000001,2))</f>
        <v/>
      </c>
      <c r="AB13" s="81">
        <f>IF(OR(B13&lt;&gt;"Whatnot",F13=""),"",INDEX('Fee Rules'!$C$53:$I$58,IFERROR(MATCH(D13,'Fee Rules'!$A$53:$A$58,0),MATCH("Other",'Fee Rules'!$A$53:$A$58,0)),IFERROR(MATCH(IF(E13="",'Fee Rules'!$C$21,E13),'Fee Rules'!$C$51:$I$51,0),1)))</f>
        <v/>
      </c>
      <c r="AC13" s="78">
        <f>IF(AB13="","",ROUND(F13*AB13+0.00000001,2)+IF(I13&gt;0,ROUND(I13*'Fee Rules'!$C$19+'Fee Rules'!$C$20+0.00000001,2),0))</f>
        <v/>
      </c>
      <c r="AD13" s="78">
        <f>IF(OR(B13&lt;&gt;"Depop",F13=""),"",ROUND(F13*'Fee Rules'!$C$22+0.00000001,2)+ROUND(I13*'Fee Rules'!$C$23+'Fee Rules'!$C$24+0.00000001,2)+IF(D13="Boosted",ROUND(F13*'Fee Rules'!$C$25+0.00000001,2),IF(D13="Boosted own label",ROUND((F13+SUM(G13))*'Fee Rules'!$C$25+0.00000001,2),0)))</f>
        <v/>
      </c>
      <c r="AE13" s="78">
        <f>IF(OR(B13&lt;&gt;"Etsy",F13=""),"",IF('Fee Rules'!$C$27="No",0,'Fee Rules'!$C$26)+ROUND((F13+SUM(G13))*'Fee Rules'!$C$28+0.00000001,2)+ROUND(I13*'Fee Rules'!$C$29+'Fee Rules'!$C$30+0.00000001,2))</f>
        <v/>
      </c>
      <c r="AF13" s="67">
        <f>IF(D13="","",IF(OR(AND(B13="eBay",COUNTIF('Fee Rules'!$A$37:$A$46,D13)&gt;0),AND(B13="Whatnot",COUNTIF('Fee Rules'!$A$53:$A$58,D13)&gt;0),AND(B13="Depop",OR(D13="Boosted",D13="Boosted own label"))),"","Option not used for "&amp;B13))</f>
        <v/>
      </c>
    </row>
    <row r="14">
      <c r="A14" s="76" t="n">
        <v>46277</v>
      </c>
      <c r="B14" s="41" t="inlineStr">
        <is>
          <t>Poshmark</t>
        </is>
      </c>
      <c r="C14" s="41" t="inlineStr">
        <is>
          <t>Denim jacket</t>
        </is>
      </c>
      <c r="D14" s="41" t="n"/>
      <c r="E14" s="41" t="n"/>
      <c r="F14" s="77" t="n">
        <v>12</v>
      </c>
      <c r="G14" s="77" t="n"/>
      <c r="H14" s="77" t="n"/>
      <c r="I14" s="78">
        <f>IF(F14="","",F14+SUM(G14)+SUM(H14))</f>
        <v/>
      </c>
      <c r="J14" s="78">
        <f>IF(F14="","",IF(B14="eBay",Y14,IF(B14="Poshmark",Z14,IF(B14="Mercari",AA14,IF(B14="Whatnot",AC14,IF(B14="Depop",AD14,IF(B14="Etsy",AE14,"n/a")))))))</f>
        <v/>
      </c>
      <c r="K14" s="77" t="n"/>
      <c r="L14" s="78">
        <f>IF(F14="","",IF(K14&lt;&gt;"",K14,IF(ISNUMBER(J14),J14,0)))</f>
        <v/>
      </c>
      <c r="M14" s="78">
        <f>IF(F14="","",F14+IF(B14="Poshmark",0,SUM(G14))-L14)</f>
        <v/>
      </c>
      <c r="N14" s="77" t="n"/>
      <c r="O14" s="77" t="n">
        <v>2</v>
      </c>
      <c r="P14" s="77" t="n"/>
      <c r="Q14" s="78">
        <f>IF(F14="","",F14+IF(B14="Poshmark",0,SUM(G14)))</f>
        <v/>
      </c>
      <c r="R14" s="78">
        <f>IF(F14="","",IF(B14="Poshmark",SUM(N14),IF(N14="",SUM(G14),N14)))</f>
        <v/>
      </c>
      <c r="S14" s="79">
        <f>IF(F14="","",M14-R14-SUM(P14)-SUM(O14))</f>
        <v/>
      </c>
      <c r="T14" s="80">
        <f>IF(OR(F14="",Q14=0),"",S14/Q14)</f>
        <v/>
      </c>
      <c r="V14" s="67">
        <f>IF(OR(B14&lt;&gt;"eBay",F14=""),"",IFERROR(MATCH(D14,'Fee Rules'!$A$37:$A$46,0),MATCH("Most",'Fee Rules'!$A$37:$A$46,0)))</f>
        <v/>
      </c>
      <c r="W14" s="78">
        <f>IF(V14="","",ROUND(IF(INDEX('Fee Rules'!$C$37:$C$46,V14)="Tiered",MIN(I14,INDEX('Fee Rules'!$E$37:$E$46,V14))*INDEX('Fee Rules'!$D$37:$D$46,V14)+MAX(0,MIN(I14,IF(INDEX('Fee Rules'!$G$37:$G$46,V14)="",INDEX('Fee Rules'!$E$37:$E$46,V14),INDEX('Fee Rules'!$G$37:$G$46,V14)))-INDEX('Fee Rules'!$E$37:$E$46,V14))*IF(INDEX('Fee Rules'!$F$37:$F$46,V14)="",0,INDEX('Fee Rules'!$F$37:$F$46,V14))+MAX(0,I14-IF(INDEX('Fee Rules'!$G$37:$G$46,V14)="",INDEX('Fee Rules'!$E$37:$E$46,V14),INDEX('Fee Rules'!$G$37:$G$46,V14)))*INDEX('Fee Rules'!$H$37:$H$46,V14),I14*IF(IF(INDEX('Fee Rules'!$C$37:$C$46,V14)="Whole amount (total &lt; limit)",I14&lt;INDEX('Fee Rules'!$E$37:$E$46,V14),I14&lt;=INDEX('Fee Rules'!$E$37:$E$46,V14)),INDEX('Fee Rules'!$D$37:$D$46,V14),INDEX('Fee Rules'!$H$37:$H$46,V14)))+0.00000001,2))</f>
        <v/>
      </c>
      <c r="X14" s="78">
        <f>IF(V14="","",IF(AND(INDEX('Fee Rules'!$I$37:$I$46,V14)&lt;&gt;"",I14&gt;=INDEX('Fee Rules'!$I$37:$I$46,V14)),0,IF(I14&lt;='Fee Rules'!$C$13,'Fee Rules'!$C$11,'Fee Rules'!$C$12)))</f>
        <v/>
      </c>
      <c r="Y14" s="78">
        <f>IF(V14="","",W14+X14)</f>
        <v/>
      </c>
      <c r="Z14" s="78">
        <f>IF(OR(B14&lt;&gt;"Poshmark",F14=""),"",IF(F14&lt;'Fee Rules'!$C$16,'Fee Rules'!$C$15,ROUND(F14*'Fee Rules'!$C$17+0.00000001,2)))</f>
        <v/>
      </c>
      <c r="AA14" s="78">
        <f>IF(OR(B14&lt;&gt;"Mercari",F14=""),"",ROUND((F14+SUM(G14))*'Fee Rules'!$C$18+0.00000001,2))</f>
        <v/>
      </c>
      <c r="AB14" s="81">
        <f>IF(OR(B14&lt;&gt;"Whatnot",F14=""),"",INDEX('Fee Rules'!$C$53:$I$58,IFERROR(MATCH(D14,'Fee Rules'!$A$53:$A$58,0),MATCH("Other",'Fee Rules'!$A$53:$A$58,0)),IFERROR(MATCH(IF(E14="",'Fee Rules'!$C$21,E14),'Fee Rules'!$C$51:$I$51,0),1)))</f>
        <v/>
      </c>
      <c r="AC14" s="78">
        <f>IF(AB14="","",ROUND(F14*AB14+0.00000001,2)+IF(I14&gt;0,ROUND(I14*'Fee Rules'!$C$19+'Fee Rules'!$C$20+0.00000001,2),0))</f>
        <v/>
      </c>
      <c r="AD14" s="78">
        <f>IF(OR(B14&lt;&gt;"Depop",F14=""),"",ROUND(F14*'Fee Rules'!$C$22+0.00000001,2)+ROUND(I14*'Fee Rules'!$C$23+'Fee Rules'!$C$24+0.00000001,2)+IF(D14="Boosted",ROUND(F14*'Fee Rules'!$C$25+0.00000001,2),IF(D14="Boosted own label",ROUND((F14+SUM(G14))*'Fee Rules'!$C$25+0.00000001,2),0)))</f>
        <v/>
      </c>
      <c r="AE14" s="78">
        <f>IF(OR(B14&lt;&gt;"Etsy",F14=""),"",IF('Fee Rules'!$C$27="No",0,'Fee Rules'!$C$26)+ROUND((F14+SUM(G14))*'Fee Rules'!$C$28+0.00000001,2)+ROUND(I14*'Fee Rules'!$C$29+'Fee Rules'!$C$30+0.00000001,2))</f>
        <v/>
      </c>
      <c r="AF14" s="67">
        <f>IF(D14="","",IF(OR(AND(B14="eBay",COUNTIF('Fee Rules'!$A$37:$A$46,D14)&gt;0),AND(B14="Whatnot",COUNTIF('Fee Rules'!$A$53:$A$58,D14)&gt;0),AND(B14="Depop",OR(D14="Boosted",D14="Boosted own label"))),"","Option not used for "&amp;B14))</f>
        <v/>
      </c>
    </row>
    <row r="15">
      <c r="A15" s="76" t="n">
        <v>46279</v>
      </c>
      <c r="B15" s="41" t="inlineStr">
        <is>
          <t>eBay</t>
        </is>
      </c>
      <c r="C15" s="41" t="inlineStr">
        <is>
          <t>Running sneakers</t>
        </is>
      </c>
      <c r="D15" s="41" t="inlineStr">
        <is>
          <t>Sneakers</t>
        </is>
      </c>
      <c r="E15" s="41" t="n"/>
      <c r="F15" s="77" t="n">
        <v>160</v>
      </c>
      <c r="G15" s="77" t="n">
        <v>0</v>
      </c>
      <c r="H15" s="77" t="n">
        <v>13.2</v>
      </c>
      <c r="I15" s="78">
        <f>IF(F15="","",F15+SUM(G15)+SUM(H15))</f>
        <v/>
      </c>
      <c r="J15" s="78">
        <f>IF(F15="","",IF(B15="eBay",Y15,IF(B15="Poshmark",Z15,IF(B15="Mercari",AA15,IF(B15="Whatnot",AC15,IF(B15="Depop",AD15,IF(B15="Etsy",AE15,"n/a")))))))</f>
        <v/>
      </c>
      <c r="K15" s="77" t="n"/>
      <c r="L15" s="78">
        <f>IF(F15="","",IF(K15&lt;&gt;"",K15,IF(ISNUMBER(J15),J15,0)))</f>
        <v/>
      </c>
      <c r="M15" s="78">
        <f>IF(F15="","",F15+IF(B15="Poshmark",0,SUM(G15))-L15)</f>
        <v/>
      </c>
      <c r="N15" s="77" t="n">
        <v>14.5</v>
      </c>
      <c r="O15" s="77" t="n">
        <v>70</v>
      </c>
      <c r="P15" s="77" t="n"/>
      <c r="Q15" s="78">
        <f>IF(F15="","",F15+IF(B15="Poshmark",0,SUM(G15)))</f>
        <v/>
      </c>
      <c r="R15" s="78">
        <f>IF(F15="","",IF(B15="Poshmark",SUM(N15),IF(N15="",SUM(G15),N15)))</f>
        <v/>
      </c>
      <c r="S15" s="79">
        <f>IF(F15="","",M15-R15-SUM(P15)-SUM(O15))</f>
        <v/>
      </c>
      <c r="T15" s="80">
        <f>IF(OR(F15="",Q15=0),"",S15/Q15)</f>
        <v/>
      </c>
      <c r="V15" s="67">
        <f>IF(OR(B15&lt;&gt;"eBay",F15=""),"",IFERROR(MATCH(D15,'Fee Rules'!$A$37:$A$46,0),MATCH("Most",'Fee Rules'!$A$37:$A$46,0)))</f>
        <v/>
      </c>
      <c r="W15" s="78">
        <f>IF(V15="","",ROUND(IF(INDEX('Fee Rules'!$C$37:$C$46,V15)="Tiered",MIN(I15,INDEX('Fee Rules'!$E$37:$E$46,V15))*INDEX('Fee Rules'!$D$37:$D$46,V15)+MAX(0,MIN(I15,IF(INDEX('Fee Rules'!$G$37:$G$46,V15)="",INDEX('Fee Rules'!$E$37:$E$46,V15),INDEX('Fee Rules'!$G$37:$G$46,V15)))-INDEX('Fee Rules'!$E$37:$E$46,V15))*IF(INDEX('Fee Rules'!$F$37:$F$46,V15)="",0,INDEX('Fee Rules'!$F$37:$F$46,V15))+MAX(0,I15-IF(INDEX('Fee Rules'!$G$37:$G$46,V15)="",INDEX('Fee Rules'!$E$37:$E$46,V15),INDEX('Fee Rules'!$G$37:$G$46,V15)))*INDEX('Fee Rules'!$H$37:$H$46,V15),I15*IF(IF(INDEX('Fee Rules'!$C$37:$C$46,V15)="Whole amount (total &lt; limit)",I15&lt;INDEX('Fee Rules'!$E$37:$E$46,V15),I15&lt;=INDEX('Fee Rules'!$E$37:$E$46,V15)),INDEX('Fee Rules'!$D$37:$D$46,V15),INDEX('Fee Rules'!$H$37:$H$46,V15)))+0.00000001,2))</f>
        <v/>
      </c>
      <c r="X15" s="78">
        <f>IF(V15="","",IF(AND(INDEX('Fee Rules'!$I$37:$I$46,V15)&lt;&gt;"",I15&gt;=INDEX('Fee Rules'!$I$37:$I$46,V15)),0,IF(I15&lt;='Fee Rules'!$C$13,'Fee Rules'!$C$11,'Fee Rules'!$C$12)))</f>
        <v/>
      </c>
      <c r="Y15" s="78">
        <f>IF(V15="","",W15+X15)</f>
        <v/>
      </c>
      <c r="Z15" s="78">
        <f>IF(OR(B15&lt;&gt;"Poshmark",F15=""),"",IF(F15&lt;'Fee Rules'!$C$16,'Fee Rules'!$C$15,ROUND(F15*'Fee Rules'!$C$17+0.00000001,2)))</f>
        <v/>
      </c>
      <c r="AA15" s="78">
        <f>IF(OR(B15&lt;&gt;"Mercari",F15=""),"",ROUND((F15+SUM(G15))*'Fee Rules'!$C$18+0.00000001,2))</f>
        <v/>
      </c>
      <c r="AB15" s="81">
        <f>IF(OR(B15&lt;&gt;"Whatnot",F15=""),"",INDEX('Fee Rules'!$C$53:$I$58,IFERROR(MATCH(D15,'Fee Rules'!$A$53:$A$58,0),MATCH("Other",'Fee Rules'!$A$53:$A$58,0)),IFERROR(MATCH(IF(E15="",'Fee Rules'!$C$21,E15),'Fee Rules'!$C$51:$I$51,0),1)))</f>
        <v/>
      </c>
      <c r="AC15" s="78">
        <f>IF(AB15="","",ROUND(F15*AB15+0.00000001,2)+IF(I15&gt;0,ROUND(I15*'Fee Rules'!$C$19+'Fee Rules'!$C$20+0.00000001,2),0))</f>
        <v/>
      </c>
      <c r="AD15" s="78">
        <f>IF(OR(B15&lt;&gt;"Depop",F15=""),"",ROUND(F15*'Fee Rules'!$C$22+0.00000001,2)+ROUND(I15*'Fee Rules'!$C$23+'Fee Rules'!$C$24+0.00000001,2)+IF(D15="Boosted",ROUND(F15*'Fee Rules'!$C$25+0.00000001,2),IF(D15="Boosted own label",ROUND((F15+SUM(G15))*'Fee Rules'!$C$25+0.00000001,2),0)))</f>
        <v/>
      </c>
      <c r="AE15" s="78">
        <f>IF(OR(B15&lt;&gt;"Etsy",F15=""),"",IF('Fee Rules'!$C$27="No",0,'Fee Rules'!$C$26)+ROUND((F15+SUM(G15))*'Fee Rules'!$C$28+0.00000001,2)+ROUND(I15*'Fee Rules'!$C$29+'Fee Rules'!$C$30+0.00000001,2))</f>
        <v/>
      </c>
      <c r="AF15" s="67">
        <f>IF(D15="","",IF(OR(AND(B15="eBay",COUNTIF('Fee Rules'!$A$37:$A$46,D15)&gt;0),AND(B15="Whatnot",COUNTIF('Fee Rules'!$A$53:$A$58,D15)&gt;0),AND(B15="Depop",OR(D15="Boosted",D15="Boosted own label"))),"","Option not used for "&amp;B15))</f>
        <v/>
      </c>
    </row>
    <row r="16">
      <c r="A16" s="76" t="n">
        <v>46280</v>
      </c>
      <c r="B16" s="41" t="inlineStr">
        <is>
          <t>Mercari</t>
        </is>
      </c>
      <c r="C16" s="41" t="inlineStr">
        <is>
          <t>Building-brick set (opened)</t>
        </is>
      </c>
      <c r="D16" s="41" t="n"/>
      <c r="E16" s="41" t="n"/>
      <c r="F16" s="77" t="n">
        <v>34</v>
      </c>
      <c r="G16" s="77" t="n">
        <v>7.5</v>
      </c>
      <c r="H16" s="77" t="n"/>
      <c r="I16" s="78">
        <f>IF(F16="","",F16+SUM(G16)+SUM(H16))</f>
        <v/>
      </c>
      <c r="J16" s="78">
        <f>IF(F16="","",IF(B16="eBay",Y16,IF(B16="Poshmark",Z16,IF(B16="Mercari",AA16,IF(B16="Whatnot",AC16,IF(B16="Depop",AD16,IF(B16="Etsy",AE16,"n/a")))))))</f>
        <v/>
      </c>
      <c r="K16" s="77" t="n"/>
      <c r="L16" s="78">
        <f>IF(F16="","",IF(K16&lt;&gt;"",K16,IF(ISNUMBER(J16),J16,0)))</f>
        <v/>
      </c>
      <c r="M16" s="78">
        <f>IF(F16="","",F16+IF(B16="Poshmark",0,SUM(G16))-L16)</f>
        <v/>
      </c>
      <c r="N16" s="77" t="n"/>
      <c r="O16" s="77" t="n">
        <v>12</v>
      </c>
      <c r="P16" s="77" t="n"/>
      <c r="Q16" s="78">
        <f>IF(F16="","",F16+IF(B16="Poshmark",0,SUM(G16)))</f>
        <v/>
      </c>
      <c r="R16" s="78">
        <f>IF(F16="","",IF(B16="Poshmark",SUM(N16),IF(N16="",SUM(G16),N16)))</f>
        <v/>
      </c>
      <c r="S16" s="79">
        <f>IF(F16="","",M16-R16-SUM(P16)-SUM(O16))</f>
        <v/>
      </c>
      <c r="T16" s="80">
        <f>IF(OR(F16="",Q16=0),"",S16/Q16)</f>
        <v/>
      </c>
      <c r="V16" s="67">
        <f>IF(OR(B16&lt;&gt;"eBay",F16=""),"",IFERROR(MATCH(D16,'Fee Rules'!$A$37:$A$46,0),MATCH("Most",'Fee Rules'!$A$37:$A$46,0)))</f>
        <v/>
      </c>
      <c r="W16" s="78">
        <f>IF(V16="","",ROUND(IF(INDEX('Fee Rules'!$C$37:$C$46,V16)="Tiered",MIN(I16,INDEX('Fee Rules'!$E$37:$E$46,V16))*INDEX('Fee Rules'!$D$37:$D$46,V16)+MAX(0,MIN(I16,IF(INDEX('Fee Rules'!$G$37:$G$46,V16)="",INDEX('Fee Rules'!$E$37:$E$46,V16),INDEX('Fee Rules'!$G$37:$G$46,V16)))-INDEX('Fee Rules'!$E$37:$E$46,V16))*IF(INDEX('Fee Rules'!$F$37:$F$46,V16)="",0,INDEX('Fee Rules'!$F$37:$F$46,V16))+MAX(0,I16-IF(INDEX('Fee Rules'!$G$37:$G$46,V16)="",INDEX('Fee Rules'!$E$37:$E$46,V16),INDEX('Fee Rules'!$G$37:$G$46,V16)))*INDEX('Fee Rules'!$H$37:$H$46,V16),I16*IF(IF(INDEX('Fee Rules'!$C$37:$C$46,V16)="Whole amount (total &lt; limit)",I16&lt;INDEX('Fee Rules'!$E$37:$E$46,V16),I16&lt;=INDEX('Fee Rules'!$E$37:$E$46,V16)),INDEX('Fee Rules'!$D$37:$D$46,V16),INDEX('Fee Rules'!$H$37:$H$46,V16)))+0.00000001,2))</f>
        <v/>
      </c>
      <c r="X16" s="78">
        <f>IF(V16="","",IF(AND(INDEX('Fee Rules'!$I$37:$I$46,V16)&lt;&gt;"",I16&gt;=INDEX('Fee Rules'!$I$37:$I$46,V16)),0,IF(I16&lt;='Fee Rules'!$C$13,'Fee Rules'!$C$11,'Fee Rules'!$C$12)))</f>
        <v/>
      </c>
      <c r="Y16" s="78">
        <f>IF(V16="","",W16+X16)</f>
        <v/>
      </c>
      <c r="Z16" s="78">
        <f>IF(OR(B16&lt;&gt;"Poshmark",F16=""),"",IF(F16&lt;'Fee Rules'!$C$16,'Fee Rules'!$C$15,ROUND(F16*'Fee Rules'!$C$17+0.00000001,2)))</f>
        <v/>
      </c>
      <c r="AA16" s="78">
        <f>IF(OR(B16&lt;&gt;"Mercari",F16=""),"",ROUND((F16+SUM(G16))*'Fee Rules'!$C$18+0.00000001,2))</f>
        <v/>
      </c>
      <c r="AB16" s="81">
        <f>IF(OR(B16&lt;&gt;"Whatnot",F16=""),"",INDEX('Fee Rules'!$C$53:$I$58,IFERROR(MATCH(D16,'Fee Rules'!$A$53:$A$58,0),MATCH("Other",'Fee Rules'!$A$53:$A$58,0)),IFERROR(MATCH(IF(E16="",'Fee Rules'!$C$21,E16),'Fee Rules'!$C$51:$I$51,0),1)))</f>
        <v/>
      </c>
      <c r="AC16" s="78">
        <f>IF(AB16="","",ROUND(F16*AB16+0.00000001,2)+IF(I16&gt;0,ROUND(I16*'Fee Rules'!$C$19+'Fee Rules'!$C$20+0.00000001,2),0))</f>
        <v/>
      </c>
      <c r="AD16" s="78">
        <f>IF(OR(B16&lt;&gt;"Depop",F16=""),"",ROUND(F16*'Fee Rules'!$C$22+0.00000001,2)+ROUND(I16*'Fee Rules'!$C$23+'Fee Rules'!$C$24+0.00000001,2)+IF(D16="Boosted",ROUND(F16*'Fee Rules'!$C$25+0.00000001,2),IF(D16="Boosted own label",ROUND((F16+SUM(G16))*'Fee Rules'!$C$25+0.00000001,2),0)))</f>
        <v/>
      </c>
      <c r="AE16" s="78">
        <f>IF(OR(B16&lt;&gt;"Etsy",F16=""),"",IF('Fee Rules'!$C$27="No",0,'Fee Rules'!$C$26)+ROUND((F16+SUM(G16))*'Fee Rules'!$C$28+0.00000001,2)+ROUND(I16*'Fee Rules'!$C$29+'Fee Rules'!$C$30+0.00000001,2))</f>
        <v/>
      </c>
      <c r="AF16" s="67">
        <f>IF(D16="","",IF(OR(AND(B16="eBay",COUNTIF('Fee Rules'!$A$37:$A$46,D16)&gt;0),AND(B16="Whatnot",COUNTIF('Fee Rules'!$A$53:$A$58,D16)&gt;0),AND(B16="Depop",OR(D16="Boosted",D16="Boosted own label"))),"","Option not used for "&amp;B16))</f>
        <v/>
      </c>
    </row>
    <row r="17">
      <c r="A17" s="76" t="n">
        <v>46281</v>
      </c>
      <c r="B17" s="41" t="inlineStr">
        <is>
          <t>Whatnot</t>
        </is>
      </c>
      <c r="C17" s="41" t="inlineStr">
        <is>
          <t>TCG booster pack</t>
        </is>
      </c>
      <c r="D17" s="41" t="inlineStr">
        <is>
          <t>TCG</t>
        </is>
      </c>
      <c r="E17" s="41" t="n"/>
      <c r="F17" s="77" t="n">
        <v>18</v>
      </c>
      <c r="G17" s="77" t="n">
        <v>4.5</v>
      </c>
      <c r="H17" s="77" t="n">
        <v>1.5</v>
      </c>
      <c r="I17" s="78">
        <f>IF(F17="","",F17+SUM(G17)+SUM(H17))</f>
        <v/>
      </c>
      <c r="J17" s="78">
        <f>IF(F17="","",IF(B17="eBay",Y17,IF(B17="Poshmark",Z17,IF(B17="Mercari",AA17,IF(B17="Whatnot",AC17,IF(B17="Depop",AD17,IF(B17="Etsy",AE17,"n/a")))))))</f>
        <v/>
      </c>
      <c r="K17" s="77" t="n"/>
      <c r="L17" s="78">
        <f>IF(F17="","",IF(K17&lt;&gt;"",K17,IF(ISNUMBER(J17),J17,0)))</f>
        <v/>
      </c>
      <c r="M17" s="78">
        <f>IF(F17="","",F17+IF(B17="Poshmark",0,SUM(G17))-L17)</f>
        <v/>
      </c>
      <c r="N17" s="77" t="n"/>
      <c r="O17" s="77" t="n">
        <v>6</v>
      </c>
      <c r="P17" s="77" t="n"/>
      <c r="Q17" s="78">
        <f>IF(F17="","",F17+IF(B17="Poshmark",0,SUM(G17)))</f>
        <v/>
      </c>
      <c r="R17" s="78">
        <f>IF(F17="","",IF(B17="Poshmark",SUM(N17),IF(N17="",SUM(G17),N17)))</f>
        <v/>
      </c>
      <c r="S17" s="79">
        <f>IF(F17="","",M17-R17-SUM(P17)-SUM(O17))</f>
        <v/>
      </c>
      <c r="T17" s="80">
        <f>IF(OR(F17="",Q17=0),"",S17/Q17)</f>
        <v/>
      </c>
      <c r="V17" s="67">
        <f>IF(OR(B17&lt;&gt;"eBay",F17=""),"",IFERROR(MATCH(D17,'Fee Rules'!$A$37:$A$46,0),MATCH("Most",'Fee Rules'!$A$37:$A$46,0)))</f>
        <v/>
      </c>
      <c r="W17" s="78">
        <f>IF(V17="","",ROUND(IF(INDEX('Fee Rules'!$C$37:$C$46,V17)="Tiered",MIN(I17,INDEX('Fee Rules'!$E$37:$E$46,V17))*INDEX('Fee Rules'!$D$37:$D$46,V17)+MAX(0,MIN(I17,IF(INDEX('Fee Rules'!$G$37:$G$46,V17)="",INDEX('Fee Rules'!$E$37:$E$46,V17),INDEX('Fee Rules'!$G$37:$G$46,V17)))-INDEX('Fee Rules'!$E$37:$E$46,V17))*IF(INDEX('Fee Rules'!$F$37:$F$46,V17)="",0,INDEX('Fee Rules'!$F$37:$F$46,V17))+MAX(0,I17-IF(INDEX('Fee Rules'!$G$37:$G$46,V17)="",INDEX('Fee Rules'!$E$37:$E$46,V17),INDEX('Fee Rules'!$G$37:$G$46,V17)))*INDEX('Fee Rules'!$H$37:$H$46,V17),I17*IF(IF(INDEX('Fee Rules'!$C$37:$C$46,V17)="Whole amount (total &lt; limit)",I17&lt;INDEX('Fee Rules'!$E$37:$E$46,V17),I17&lt;=INDEX('Fee Rules'!$E$37:$E$46,V17)),INDEX('Fee Rules'!$D$37:$D$46,V17),INDEX('Fee Rules'!$H$37:$H$46,V17)))+0.00000001,2))</f>
        <v/>
      </c>
      <c r="X17" s="78">
        <f>IF(V17="","",IF(AND(INDEX('Fee Rules'!$I$37:$I$46,V17)&lt;&gt;"",I17&gt;=INDEX('Fee Rules'!$I$37:$I$46,V17)),0,IF(I17&lt;='Fee Rules'!$C$13,'Fee Rules'!$C$11,'Fee Rules'!$C$12)))</f>
        <v/>
      </c>
      <c r="Y17" s="78">
        <f>IF(V17="","",W17+X17)</f>
        <v/>
      </c>
      <c r="Z17" s="78">
        <f>IF(OR(B17&lt;&gt;"Poshmark",F17=""),"",IF(F17&lt;'Fee Rules'!$C$16,'Fee Rules'!$C$15,ROUND(F17*'Fee Rules'!$C$17+0.00000001,2)))</f>
        <v/>
      </c>
      <c r="AA17" s="78">
        <f>IF(OR(B17&lt;&gt;"Mercari",F17=""),"",ROUND((F17+SUM(G17))*'Fee Rules'!$C$18+0.00000001,2))</f>
        <v/>
      </c>
      <c r="AB17" s="81">
        <f>IF(OR(B17&lt;&gt;"Whatnot",F17=""),"",INDEX('Fee Rules'!$C$53:$I$58,IFERROR(MATCH(D17,'Fee Rules'!$A$53:$A$58,0),MATCH("Other",'Fee Rules'!$A$53:$A$58,0)),IFERROR(MATCH(IF(E17="",'Fee Rules'!$C$21,E17),'Fee Rules'!$C$51:$I$51,0),1)))</f>
        <v/>
      </c>
      <c r="AC17" s="78">
        <f>IF(AB17="","",ROUND(F17*AB17+0.00000001,2)+IF(I17&gt;0,ROUND(I17*'Fee Rules'!$C$19+'Fee Rules'!$C$20+0.00000001,2),0))</f>
        <v/>
      </c>
      <c r="AD17" s="78">
        <f>IF(OR(B17&lt;&gt;"Depop",F17=""),"",ROUND(F17*'Fee Rules'!$C$22+0.00000001,2)+ROUND(I17*'Fee Rules'!$C$23+'Fee Rules'!$C$24+0.00000001,2)+IF(D17="Boosted",ROUND(F17*'Fee Rules'!$C$25+0.00000001,2),IF(D17="Boosted own label",ROUND((F17+SUM(G17))*'Fee Rules'!$C$25+0.00000001,2),0)))</f>
        <v/>
      </c>
      <c r="AE17" s="78">
        <f>IF(OR(B17&lt;&gt;"Etsy",F17=""),"",IF('Fee Rules'!$C$27="No",0,'Fee Rules'!$C$26)+ROUND((F17+SUM(G17))*'Fee Rules'!$C$28+0.00000001,2)+ROUND(I17*'Fee Rules'!$C$29+'Fee Rules'!$C$30+0.00000001,2))</f>
        <v/>
      </c>
      <c r="AF17" s="67">
        <f>IF(D17="","",IF(OR(AND(B17="eBay",COUNTIF('Fee Rules'!$A$37:$A$46,D17)&gt;0),AND(B17="Whatnot",COUNTIF('Fee Rules'!$A$53:$A$58,D17)&gt;0),AND(B17="Depop",OR(D17="Boosted",D17="Boosted own label"))),"","Option not used for "&amp;B17))</f>
        <v/>
      </c>
    </row>
    <row r="18">
      <c r="A18" s="76" t="n">
        <v>46283</v>
      </c>
      <c r="B18" s="41" t="inlineStr">
        <is>
          <t>Depop</t>
        </is>
      </c>
      <c r="C18" s="41" t="inlineStr">
        <is>
          <t>Vintage straight-leg jeans</t>
        </is>
      </c>
      <c r="D18" s="41" t="n"/>
      <c r="E18" s="41" t="n"/>
      <c r="F18" s="77" t="n">
        <v>40</v>
      </c>
      <c r="G18" s="77" t="n">
        <v>7</v>
      </c>
      <c r="H18" s="77" t="n">
        <v>3.3</v>
      </c>
      <c r="I18" s="78">
        <f>IF(F18="","",F18+SUM(G18)+SUM(H18))</f>
        <v/>
      </c>
      <c r="J18" s="78">
        <f>IF(F18="","",IF(B18="eBay",Y18,IF(B18="Poshmark",Z18,IF(B18="Mercari",AA18,IF(B18="Whatnot",AC18,IF(B18="Depop",AD18,IF(B18="Etsy",AE18,"n/a")))))))</f>
        <v/>
      </c>
      <c r="K18" s="77" t="n"/>
      <c r="L18" s="78">
        <f>IF(F18="","",IF(K18&lt;&gt;"",K18,IF(ISNUMBER(J18),J18,0)))</f>
        <v/>
      </c>
      <c r="M18" s="78">
        <f>IF(F18="","",F18+IF(B18="Poshmark",0,SUM(G18))-L18)</f>
        <v/>
      </c>
      <c r="N18" s="77" t="n"/>
      <c r="O18" s="77" t="n">
        <v>5</v>
      </c>
      <c r="P18" s="77" t="n"/>
      <c r="Q18" s="78">
        <f>IF(F18="","",F18+IF(B18="Poshmark",0,SUM(G18)))</f>
        <v/>
      </c>
      <c r="R18" s="78">
        <f>IF(F18="","",IF(B18="Poshmark",SUM(N18),IF(N18="",SUM(G18),N18)))</f>
        <v/>
      </c>
      <c r="S18" s="79">
        <f>IF(F18="","",M18-R18-SUM(P18)-SUM(O18))</f>
        <v/>
      </c>
      <c r="T18" s="80">
        <f>IF(OR(F18="",Q18=0),"",S18/Q18)</f>
        <v/>
      </c>
      <c r="V18" s="67">
        <f>IF(OR(B18&lt;&gt;"eBay",F18=""),"",IFERROR(MATCH(D18,'Fee Rules'!$A$37:$A$46,0),MATCH("Most",'Fee Rules'!$A$37:$A$46,0)))</f>
        <v/>
      </c>
      <c r="W18" s="78">
        <f>IF(V18="","",ROUND(IF(INDEX('Fee Rules'!$C$37:$C$46,V18)="Tiered",MIN(I18,INDEX('Fee Rules'!$E$37:$E$46,V18))*INDEX('Fee Rules'!$D$37:$D$46,V18)+MAX(0,MIN(I18,IF(INDEX('Fee Rules'!$G$37:$G$46,V18)="",INDEX('Fee Rules'!$E$37:$E$46,V18),INDEX('Fee Rules'!$G$37:$G$46,V18)))-INDEX('Fee Rules'!$E$37:$E$46,V18))*IF(INDEX('Fee Rules'!$F$37:$F$46,V18)="",0,INDEX('Fee Rules'!$F$37:$F$46,V18))+MAX(0,I18-IF(INDEX('Fee Rules'!$G$37:$G$46,V18)="",INDEX('Fee Rules'!$E$37:$E$46,V18),INDEX('Fee Rules'!$G$37:$G$46,V18)))*INDEX('Fee Rules'!$H$37:$H$46,V18),I18*IF(IF(INDEX('Fee Rules'!$C$37:$C$46,V18)="Whole amount (total &lt; limit)",I18&lt;INDEX('Fee Rules'!$E$37:$E$46,V18),I18&lt;=INDEX('Fee Rules'!$E$37:$E$46,V18)),INDEX('Fee Rules'!$D$37:$D$46,V18),INDEX('Fee Rules'!$H$37:$H$46,V18)))+0.00000001,2))</f>
        <v/>
      </c>
      <c r="X18" s="78">
        <f>IF(V18="","",IF(AND(INDEX('Fee Rules'!$I$37:$I$46,V18)&lt;&gt;"",I18&gt;=INDEX('Fee Rules'!$I$37:$I$46,V18)),0,IF(I18&lt;='Fee Rules'!$C$13,'Fee Rules'!$C$11,'Fee Rules'!$C$12)))</f>
        <v/>
      </c>
      <c r="Y18" s="78">
        <f>IF(V18="","",W18+X18)</f>
        <v/>
      </c>
      <c r="Z18" s="78">
        <f>IF(OR(B18&lt;&gt;"Poshmark",F18=""),"",IF(F18&lt;'Fee Rules'!$C$16,'Fee Rules'!$C$15,ROUND(F18*'Fee Rules'!$C$17+0.00000001,2)))</f>
        <v/>
      </c>
      <c r="AA18" s="78">
        <f>IF(OR(B18&lt;&gt;"Mercari",F18=""),"",ROUND((F18+SUM(G18))*'Fee Rules'!$C$18+0.00000001,2))</f>
        <v/>
      </c>
      <c r="AB18" s="81">
        <f>IF(OR(B18&lt;&gt;"Whatnot",F18=""),"",INDEX('Fee Rules'!$C$53:$I$58,IFERROR(MATCH(D18,'Fee Rules'!$A$53:$A$58,0),MATCH("Other",'Fee Rules'!$A$53:$A$58,0)),IFERROR(MATCH(IF(E18="",'Fee Rules'!$C$21,E18),'Fee Rules'!$C$51:$I$51,0),1)))</f>
        <v/>
      </c>
      <c r="AC18" s="78">
        <f>IF(AB18="","",ROUND(F18*AB18+0.00000001,2)+IF(I18&gt;0,ROUND(I18*'Fee Rules'!$C$19+'Fee Rules'!$C$20+0.00000001,2),0))</f>
        <v/>
      </c>
      <c r="AD18" s="78">
        <f>IF(OR(B18&lt;&gt;"Depop",F18=""),"",ROUND(F18*'Fee Rules'!$C$22+0.00000001,2)+ROUND(I18*'Fee Rules'!$C$23+'Fee Rules'!$C$24+0.00000001,2)+IF(D18="Boosted",ROUND(F18*'Fee Rules'!$C$25+0.00000001,2),IF(D18="Boosted own label",ROUND((F18+SUM(G18))*'Fee Rules'!$C$25+0.00000001,2),0)))</f>
        <v/>
      </c>
      <c r="AE18" s="78">
        <f>IF(OR(B18&lt;&gt;"Etsy",F18=""),"",IF('Fee Rules'!$C$27="No",0,'Fee Rules'!$C$26)+ROUND((F18+SUM(G18))*'Fee Rules'!$C$28+0.00000001,2)+ROUND(I18*'Fee Rules'!$C$29+'Fee Rules'!$C$30+0.00000001,2))</f>
        <v/>
      </c>
      <c r="AF18" s="67">
        <f>IF(D18="","",IF(OR(AND(B18="eBay",COUNTIF('Fee Rules'!$A$37:$A$46,D18)&gt;0),AND(B18="Whatnot",COUNTIF('Fee Rules'!$A$53:$A$58,D18)&gt;0),AND(B18="Depop",OR(D18="Boosted",D18="Boosted own label"))),"","Option not used for "&amp;B18))</f>
        <v/>
      </c>
    </row>
    <row r="19">
      <c r="A19" s="76" t="n">
        <v>46284</v>
      </c>
      <c r="B19" s="41" t="inlineStr">
        <is>
          <t>eBay</t>
        </is>
      </c>
      <c r="C19" s="41" t="inlineStr">
        <is>
          <t>Cast iron skillet</t>
        </is>
      </c>
      <c r="D19" s="41" t="n"/>
      <c r="E19" s="41" t="n"/>
      <c r="F19" s="77" t="n">
        <v>45</v>
      </c>
      <c r="G19" s="77" t="n">
        <v>12</v>
      </c>
      <c r="H19" s="77" t="n">
        <v>4</v>
      </c>
      <c r="I19" s="78">
        <f>IF(F19="","",F19+SUM(G19)+SUM(H19))</f>
        <v/>
      </c>
      <c r="J19" s="78">
        <f>IF(F19="","",IF(B19="eBay",Y19,IF(B19="Poshmark",Z19,IF(B19="Mercari",AA19,IF(B19="Whatnot",AC19,IF(B19="Depop",AD19,IF(B19="Etsy",AE19,"n/a")))))))</f>
        <v/>
      </c>
      <c r="K19" s="77" t="n"/>
      <c r="L19" s="78">
        <f>IF(F19="","",IF(K19&lt;&gt;"",K19,IF(ISNUMBER(J19),J19,0)))</f>
        <v/>
      </c>
      <c r="M19" s="78">
        <f>IF(F19="","",F19+IF(B19="Poshmark",0,SUM(G19))-L19)</f>
        <v/>
      </c>
      <c r="N19" s="77" t="n">
        <v>11.2</v>
      </c>
      <c r="O19" s="77" t="n">
        <v>8</v>
      </c>
      <c r="P19" s="77" t="n"/>
      <c r="Q19" s="78">
        <f>IF(F19="","",F19+IF(B19="Poshmark",0,SUM(G19)))</f>
        <v/>
      </c>
      <c r="R19" s="78">
        <f>IF(F19="","",IF(B19="Poshmark",SUM(N19),IF(N19="",SUM(G19),N19)))</f>
        <v/>
      </c>
      <c r="S19" s="79">
        <f>IF(F19="","",M19-R19-SUM(P19)-SUM(O19))</f>
        <v/>
      </c>
      <c r="T19" s="80">
        <f>IF(OR(F19="",Q19=0),"",S19/Q19)</f>
        <v/>
      </c>
      <c r="V19" s="67">
        <f>IF(OR(B19&lt;&gt;"eBay",F19=""),"",IFERROR(MATCH(D19,'Fee Rules'!$A$37:$A$46,0),MATCH("Most",'Fee Rules'!$A$37:$A$46,0)))</f>
        <v/>
      </c>
      <c r="W19" s="78">
        <f>IF(V19="","",ROUND(IF(INDEX('Fee Rules'!$C$37:$C$46,V19)="Tiered",MIN(I19,INDEX('Fee Rules'!$E$37:$E$46,V19))*INDEX('Fee Rules'!$D$37:$D$46,V19)+MAX(0,MIN(I19,IF(INDEX('Fee Rules'!$G$37:$G$46,V19)="",INDEX('Fee Rules'!$E$37:$E$46,V19),INDEX('Fee Rules'!$G$37:$G$46,V19)))-INDEX('Fee Rules'!$E$37:$E$46,V19))*IF(INDEX('Fee Rules'!$F$37:$F$46,V19)="",0,INDEX('Fee Rules'!$F$37:$F$46,V19))+MAX(0,I19-IF(INDEX('Fee Rules'!$G$37:$G$46,V19)="",INDEX('Fee Rules'!$E$37:$E$46,V19),INDEX('Fee Rules'!$G$37:$G$46,V19)))*INDEX('Fee Rules'!$H$37:$H$46,V19),I19*IF(IF(INDEX('Fee Rules'!$C$37:$C$46,V19)="Whole amount (total &lt; limit)",I19&lt;INDEX('Fee Rules'!$E$37:$E$46,V19),I19&lt;=INDEX('Fee Rules'!$E$37:$E$46,V19)),INDEX('Fee Rules'!$D$37:$D$46,V19),INDEX('Fee Rules'!$H$37:$H$46,V19)))+0.00000001,2))</f>
        <v/>
      </c>
      <c r="X19" s="78">
        <f>IF(V19="","",IF(AND(INDEX('Fee Rules'!$I$37:$I$46,V19)&lt;&gt;"",I19&gt;=INDEX('Fee Rules'!$I$37:$I$46,V19)),0,IF(I19&lt;='Fee Rules'!$C$13,'Fee Rules'!$C$11,'Fee Rules'!$C$12)))</f>
        <v/>
      </c>
      <c r="Y19" s="78">
        <f>IF(V19="","",W19+X19)</f>
        <v/>
      </c>
      <c r="Z19" s="78">
        <f>IF(OR(B19&lt;&gt;"Poshmark",F19=""),"",IF(F19&lt;'Fee Rules'!$C$16,'Fee Rules'!$C$15,ROUND(F19*'Fee Rules'!$C$17+0.00000001,2)))</f>
        <v/>
      </c>
      <c r="AA19" s="78">
        <f>IF(OR(B19&lt;&gt;"Mercari",F19=""),"",ROUND((F19+SUM(G19))*'Fee Rules'!$C$18+0.00000001,2))</f>
        <v/>
      </c>
      <c r="AB19" s="81">
        <f>IF(OR(B19&lt;&gt;"Whatnot",F19=""),"",INDEX('Fee Rules'!$C$53:$I$58,IFERROR(MATCH(D19,'Fee Rules'!$A$53:$A$58,0),MATCH("Other",'Fee Rules'!$A$53:$A$58,0)),IFERROR(MATCH(IF(E19="",'Fee Rules'!$C$21,E19),'Fee Rules'!$C$51:$I$51,0),1)))</f>
        <v/>
      </c>
      <c r="AC19" s="78">
        <f>IF(AB19="","",ROUND(F19*AB19+0.00000001,2)+IF(I19&gt;0,ROUND(I19*'Fee Rules'!$C$19+'Fee Rules'!$C$20+0.00000001,2),0))</f>
        <v/>
      </c>
      <c r="AD19" s="78">
        <f>IF(OR(B19&lt;&gt;"Depop",F19=""),"",ROUND(F19*'Fee Rules'!$C$22+0.00000001,2)+ROUND(I19*'Fee Rules'!$C$23+'Fee Rules'!$C$24+0.00000001,2)+IF(D19="Boosted",ROUND(F19*'Fee Rules'!$C$25+0.00000001,2),IF(D19="Boosted own label",ROUND((F19+SUM(G19))*'Fee Rules'!$C$25+0.00000001,2),0)))</f>
        <v/>
      </c>
      <c r="AE19" s="78">
        <f>IF(OR(B19&lt;&gt;"Etsy",F19=""),"",IF('Fee Rules'!$C$27="No",0,'Fee Rules'!$C$26)+ROUND((F19+SUM(G19))*'Fee Rules'!$C$28+0.00000001,2)+ROUND(I19*'Fee Rules'!$C$29+'Fee Rules'!$C$30+0.00000001,2))</f>
        <v/>
      </c>
      <c r="AF19" s="67">
        <f>IF(D19="","",IF(OR(AND(B19="eBay",COUNTIF('Fee Rules'!$A$37:$A$46,D19)&gt;0),AND(B19="Whatnot",COUNTIF('Fee Rules'!$A$53:$A$58,D19)&gt;0),AND(B19="Depop",OR(D19="Boosted",D19="Boosted own label"))),"","Option not used for "&amp;B19))</f>
        <v/>
      </c>
    </row>
    <row r="20">
      <c r="A20" s="76" t="n">
        <v>46285</v>
      </c>
      <c r="B20" s="41" t="inlineStr">
        <is>
          <t>Poshmark</t>
        </is>
      </c>
      <c r="C20" s="41" t="inlineStr">
        <is>
          <t>Floral midi dress</t>
        </is>
      </c>
      <c r="D20" s="41" t="n"/>
      <c r="E20" s="41" t="n"/>
      <c r="F20" s="77" t="n">
        <v>55</v>
      </c>
      <c r="G20" s="77" t="n"/>
      <c r="H20" s="77" t="n"/>
      <c r="I20" s="78">
        <f>IF(F20="","",F20+SUM(G20)+SUM(H20))</f>
        <v/>
      </c>
      <c r="J20" s="78">
        <f>IF(F20="","",IF(B20="eBay",Y20,IF(B20="Poshmark",Z20,IF(B20="Mercari",AA20,IF(B20="Whatnot",AC20,IF(B20="Depop",AD20,IF(B20="Etsy",AE20,"n/a")))))))</f>
        <v/>
      </c>
      <c r="K20" s="77" t="n"/>
      <c r="L20" s="78">
        <f>IF(F20="","",IF(K20&lt;&gt;"",K20,IF(ISNUMBER(J20),J20,0)))</f>
        <v/>
      </c>
      <c r="M20" s="78">
        <f>IF(F20="","",F20+IF(B20="Poshmark",0,SUM(G20))-L20)</f>
        <v/>
      </c>
      <c r="N20" s="77" t="n"/>
      <c r="O20" s="77" t="n">
        <v>9</v>
      </c>
      <c r="P20" s="77" t="n"/>
      <c r="Q20" s="78">
        <f>IF(F20="","",F20+IF(B20="Poshmark",0,SUM(G20)))</f>
        <v/>
      </c>
      <c r="R20" s="78">
        <f>IF(F20="","",IF(B20="Poshmark",SUM(N20),IF(N20="",SUM(G20),N20)))</f>
        <v/>
      </c>
      <c r="S20" s="79">
        <f>IF(F20="","",M20-R20-SUM(P20)-SUM(O20))</f>
        <v/>
      </c>
      <c r="T20" s="80">
        <f>IF(OR(F20="",Q20=0),"",S20/Q20)</f>
        <v/>
      </c>
      <c r="V20" s="67">
        <f>IF(OR(B20&lt;&gt;"eBay",F20=""),"",IFERROR(MATCH(D20,'Fee Rules'!$A$37:$A$46,0),MATCH("Most",'Fee Rules'!$A$37:$A$46,0)))</f>
        <v/>
      </c>
      <c r="W20" s="78">
        <f>IF(V20="","",ROUND(IF(INDEX('Fee Rules'!$C$37:$C$46,V20)="Tiered",MIN(I20,INDEX('Fee Rules'!$E$37:$E$46,V20))*INDEX('Fee Rules'!$D$37:$D$46,V20)+MAX(0,MIN(I20,IF(INDEX('Fee Rules'!$G$37:$G$46,V20)="",INDEX('Fee Rules'!$E$37:$E$46,V20),INDEX('Fee Rules'!$G$37:$G$46,V20)))-INDEX('Fee Rules'!$E$37:$E$46,V20))*IF(INDEX('Fee Rules'!$F$37:$F$46,V20)="",0,INDEX('Fee Rules'!$F$37:$F$46,V20))+MAX(0,I20-IF(INDEX('Fee Rules'!$G$37:$G$46,V20)="",INDEX('Fee Rules'!$E$37:$E$46,V20),INDEX('Fee Rules'!$G$37:$G$46,V20)))*INDEX('Fee Rules'!$H$37:$H$46,V20),I20*IF(IF(INDEX('Fee Rules'!$C$37:$C$46,V20)="Whole amount (total &lt; limit)",I20&lt;INDEX('Fee Rules'!$E$37:$E$46,V20),I20&lt;=INDEX('Fee Rules'!$E$37:$E$46,V20)),INDEX('Fee Rules'!$D$37:$D$46,V20),INDEX('Fee Rules'!$H$37:$H$46,V20)))+0.00000001,2))</f>
        <v/>
      </c>
      <c r="X20" s="78">
        <f>IF(V20="","",IF(AND(INDEX('Fee Rules'!$I$37:$I$46,V20)&lt;&gt;"",I20&gt;=INDEX('Fee Rules'!$I$37:$I$46,V20)),0,IF(I20&lt;='Fee Rules'!$C$13,'Fee Rules'!$C$11,'Fee Rules'!$C$12)))</f>
        <v/>
      </c>
      <c r="Y20" s="78">
        <f>IF(V20="","",W20+X20)</f>
        <v/>
      </c>
      <c r="Z20" s="78">
        <f>IF(OR(B20&lt;&gt;"Poshmark",F20=""),"",IF(F20&lt;'Fee Rules'!$C$16,'Fee Rules'!$C$15,ROUND(F20*'Fee Rules'!$C$17+0.00000001,2)))</f>
        <v/>
      </c>
      <c r="AA20" s="78">
        <f>IF(OR(B20&lt;&gt;"Mercari",F20=""),"",ROUND((F20+SUM(G20))*'Fee Rules'!$C$18+0.00000001,2))</f>
        <v/>
      </c>
      <c r="AB20" s="81">
        <f>IF(OR(B20&lt;&gt;"Whatnot",F20=""),"",INDEX('Fee Rules'!$C$53:$I$58,IFERROR(MATCH(D20,'Fee Rules'!$A$53:$A$58,0),MATCH("Other",'Fee Rules'!$A$53:$A$58,0)),IFERROR(MATCH(IF(E20="",'Fee Rules'!$C$21,E20),'Fee Rules'!$C$51:$I$51,0),1)))</f>
        <v/>
      </c>
      <c r="AC20" s="78">
        <f>IF(AB20="","",ROUND(F20*AB20+0.00000001,2)+IF(I20&gt;0,ROUND(I20*'Fee Rules'!$C$19+'Fee Rules'!$C$20+0.00000001,2),0))</f>
        <v/>
      </c>
      <c r="AD20" s="78">
        <f>IF(OR(B20&lt;&gt;"Depop",F20=""),"",ROUND(F20*'Fee Rules'!$C$22+0.00000001,2)+ROUND(I20*'Fee Rules'!$C$23+'Fee Rules'!$C$24+0.00000001,2)+IF(D20="Boosted",ROUND(F20*'Fee Rules'!$C$25+0.00000001,2),IF(D20="Boosted own label",ROUND((F20+SUM(G20))*'Fee Rules'!$C$25+0.00000001,2),0)))</f>
        <v/>
      </c>
      <c r="AE20" s="78">
        <f>IF(OR(B20&lt;&gt;"Etsy",F20=""),"",IF('Fee Rules'!$C$27="No",0,'Fee Rules'!$C$26)+ROUND((F20+SUM(G20))*'Fee Rules'!$C$28+0.00000001,2)+ROUND(I20*'Fee Rules'!$C$29+'Fee Rules'!$C$30+0.00000001,2))</f>
        <v/>
      </c>
      <c r="AF20" s="67">
        <f>IF(D20="","",IF(OR(AND(B20="eBay",COUNTIF('Fee Rules'!$A$37:$A$46,D20)&gt;0),AND(B20="Whatnot",COUNTIF('Fee Rules'!$A$53:$A$58,D20)&gt;0),AND(B20="Depop",OR(D20="Boosted",D20="Boosted own label"))),"","Option not used for "&amp;B20))</f>
        <v/>
      </c>
    </row>
    <row r="21">
      <c r="A21" s="76" t="n">
        <v>46287</v>
      </c>
      <c r="B21" s="41" t="inlineStr">
        <is>
          <t>Etsy</t>
        </is>
      </c>
      <c r="C21" s="41" t="inlineStr">
        <is>
          <t>Mid-century vase</t>
        </is>
      </c>
      <c r="D21" s="41" t="n"/>
      <c r="E21" s="41" t="n"/>
      <c r="F21" s="77" t="n">
        <v>48</v>
      </c>
      <c r="G21" s="77" t="n">
        <v>9</v>
      </c>
      <c r="H21" s="77" t="n">
        <v>4</v>
      </c>
      <c r="I21" s="78">
        <f>IF(F21="","",F21+SUM(G21)+SUM(H21))</f>
        <v/>
      </c>
      <c r="J21" s="78">
        <f>IF(F21="","",IF(B21="eBay",Y21,IF(B21="Poshmark",Z21,IF(B21="Mercari",AA21,IF(B21="Whatnot",AC21,IF(B21="Depop",AD21,IF(B21="Etsy",AE21,"n/a")))))))</f>
        <v/>
      </c>
      <c r="K21" s="77" t="n"/>
      <c r="L21" s="78">
        <f>IF(F21="","",IF(K21&lt;&gt;"",K21,IF(ISNUMBER(J21),J21,0)))</f>
        <v/>
      </c>
      <c r="M21" s="78">
        <f>IF(F21="","",F21+IF(B21="Poshmark",0,SUM(G21))-L21)</f>
        <v/>
      </c>
      <c r="N21" s="77" t="n">
        <v>9.800000000000001</v>
      </c>
      <c r="O21" s="77" t="n">
        <v>6</v>
      </c>
      <c r="P21" s="77" t="n"/>
      <c r="Q21" s="78">
        <f>IF(F21="","",F21+IF(B21="Poshmark",0,SUM(G21)))</f>
        <v/>
      </c>
      <c r="R21" s="78">
        <f>IF(F21="","",IF(B21="Poshmark",SUM(N21),IF(N21="",SUM(G21),N21)))</f>
        <v/>
      </c>
      <c r="S21" s="79">
        <f>IF(F21="","",M21-R21-SUM(P21)-SUM(O21))</f>
        <v/>
      </c>
      <c r="T21" s="80">
        <f>IF(OR(F21="",Q21=0),"",S21/Q21)</f>
        <v/>
      </c>
      <c r="V21" s="67">
        <f>IF(OR(B21&lt;&gt;"eBay",F21=""),"",IFERROR(MATCH(D21,'Fee Rules'!$A$37:$A$46,0),MATCH("Most",'Fee Rules'!$A$37:$A$46,0)))</f>
        <v/>
      </c>
      <c r="W21" s="78">
        <f>IF(V21="","",ROUND(IF(INDEX('Fee Rules'!$C$37:$C$46,V21)="Tiered",MIN(I21,INDEX('Fee Rules'!$E$37:$E$46,V21))*INDEX('Fee Rules'!$D$37:$D$46,V21)+MAX(0,MIN(I21,IF(INDEX('Fee Rules'!$G$37:$G$46,V21)="",INDEX('Fee Rules'!$E$37:$E$46,V21),INDEX('Fee Rules'!$G$37:$G$46,V21)))-INDEX('Fee Rules'!$E$37:$E$46,V21))*IF(INDEX('Fee Rules'!$F$37:$F$46,V21)="",0,INDEX('Fee Rules'!$F$37:$F$46,V21))+MAX(0,I21-IF(INDEX('Fee Rules'!$G$37:$G$46,V21)="",INDEX('Fee Rules'!$E$37:$E$46,V21),INDEX('Fee Rules'!$G$37:$G$46,V21)))*INDEX('Fee Rules'!$H$37:$H$46,V21),I21*IF(IF(INDEX('Fee Rules'!$C$37:$C$46,V21)="Whole amount (total &lt; limit)",I21&lt;INDEX('Fee Rules'!$E$37:$E$46,V21),I21&lt;=INDEX('Fee Rules'!$E$37:$E$46,V21)),INDEX('Fee Rules'!$D$37:$D$46,V21),INDEX('Fee Rules'!$H$37:$H$46,V21)))+0.00000001,2))</f>
        <v/>
      </c>
      <c r="X21" s="78">
        <f>IF(V21="","",IF(AND(INDEX('Fee Rules'!$I$37:$I$46,V21)&lt;&gt;"",I21&gt;=INDEX('Fee Rules'!$I$37:$I$46,V21)),0,IF(I21&lt;='Fee Rules'!$C$13,'Fee Rules'!$C$11,'Fee Rules'!$C$12)))</f>
        <v/>
      </c>
      <c r="Y21" s="78">
        <f>IF(V21="","",W21+X21)</f>
        <v/>
      </c>
      <c r="Z21" s="78">
        <f>IF(OR(B21&lt;&gt;"Poshmark",F21=""),"",IF(F21&lt;'Fee Rules'!$C$16,'Fee Rules'!$C$15,ROUND(F21*'Fee Rules'!$C$17+0.00000001,2)))</f>
        <v/>
      </c>
      <c r="AA21" s="78">
        <f>IF(OR(B21&lt;&gt;"Mercari",F21=""),"",ROUND((F21+SUM(G21))*'Fee Rules'!$C$18+0.00000001,2))</f>
        <v/>
      </c>
      <c r="AB21" s="81">
        <f>IF(OR(B21&lt;&gt;"Whatnot",F21=""),"",INDEX('Fee Rules'!$C$53:$I$58,IFERROR(MATCH(D21,'Fee Rules'!$A$53:$A$58,0),MATCH("Other",'Fee Rules'!$A$53:$A$58,0)),IFERROR(MATCH(IF(E21="",'Fee Rules'!$C$21,E21),'Fee Rules'!$C$51:$I$51,0),1)))</f>
        <v/>
      </c>
      <c r="AC21" s="78">
        <f>IF(AB21="","",ROUND(F21*AB21+0.00000001,2)+IF(I21&gt;0,ROUND(I21*'Fee Rules'!$C$19+'Fee Rules'!$C$20+0.00000001,2),0))</f>
        <v/>
      </c>
      <c r="AD21" s="78">
        <f>IF(OR(B21&lt;&gt;"Depop",F21=""),"",ROUND(F21*'Fee Rules'!$C$22+0.00000001,2)+ROUND(I21*'Fee Rules'!$C$23+'Fee Rules'!$C$24+0.00000001,2)+IF(D21="Boosted",ROUND(F21*'Fee Rules'!$C$25+0.00000001,2),IF(D21="Boosted own label",ROUND((F21+SUM(G21))*'Fee Rules'!$C$25+0.00000001,2),0)))</f>
        <v/>
      </c>
      <c r="AE21" s="78">
        <f>IF(OR(B21&lt;&gt;"Etsy",F21=""),"",IF('Fee Rules'!$C$27="No",0,'Fee Rules'!$C$26)+ROUND((F21+SUM(G21))*'Fee Rules'!$C$28+0.00000001,2)+ROUND(I21*'Fee Rules'!$C$29+'Fee Rules'!$C$30+0.00000001,2))</f>
        <v/>
      </c>
      <c r="AF21" s="67">
        <f>IF(D21="","",IF(OR(AND(B21="eBay",COUNTIF('Fee Rules'!$A$37:$A$46,D21)&gt;0),AND(B21="Whatnot",COUNTIF('Fee Rules'!$A$53:$A$58,D21)&gt;0),AND(B21="Depop",OR(D21="Boosted",D21="Boosted own label"))),"","Option not used for "&amp;B21))</f>
        <v/>
      </c>
    </row>
    <row r="22">
      <c r="A22" s="76" t="n">
        <v>46288</v>
      </c>
      <c r="B22" s="41" t="inlineStr">
        <is>
          <t>eBay</t>
        </is>
      </c>
      <c r="C22" s="41" t="inlineStr">
        <is>
          <t>Vintage camera lens</t>
        </is>
      </c>
      <c r="D22" s="41" t="n"/>
      <c r="E22" s="41" t="n"/>
      <c r="F22" s="77" t="n">
        <v>120</v>
      </c>
      <c r="G22" s="77" t="n">
        <v>0</v>
      </c>
      <c r="H22" s="77" t="n">
        <v>9.6</v>
      </c>
      <c r="I22" s="78">
        <f>IF(F22="","",F22+SUM(G22)+SUM(H22))</f>
        <v/>
      </c>
      <c r="J22" s="78">
        <f>IF(F22="","",IF(B22="eBay",Y22,IF(B22="Poshmark",Z22,IF(B22="Mercari",AA22,IF(B22="Whatnot",AC22,IF(B22="Depop",AD22,IF(B22="Etsy",AE22,"n/a")))))))</f>
        <v/>
      </c>
      <c r="K22" s="77" t="n"/>
      <c r="L22" s="78">
        <f>IF(F22="","",IF(K22&lt;&gt;"",K22,IF(ISNUMBER(J22),J22,0)))</f>
        <v/>
      </c>
      <c r="M22" s="78">
        <f>IF(F22="","",F22+IF(B22="Poshmark",0,SUM(G22))-L22)</f>
        <v/>
      </c>
      <c r="N22" s="77" t="n">
        <v>10.4</v>
      </c>
      <c r="O22" s="77" t="n">
        <v>35</v>
      </c>
      <c r="P22" s="77" t="n">
        <v>0.35</v>
      </c>
      <c r="Q22" s="78">
        <f>IF(F22="","",F22+IF(B22="Poshmark",0,SUM(G22)))</f>
        <v/>
      </c>
      <c r="R22" s="78">
        <f>IF(F22="","",IF(B22="Poshmark",SUM(N22),IF(N22="",SUM(G22),N22)))</f>
        <v/>
      </c>
      <c r="S22" s="79">
        <f>IF(F22="","",M22-R22-SUM(P22)-SUM(O22))</f>
        <v/>
      </c>
      <c r="T22" s="80">
        <f>IF(OR(F22="",Q22=0),"",S22/Q22)</f>
        <v/>
      </c>
      <c r="V22" s="67">
        <f>IF(OR(B22&lt;&gt;"eBay",F22=""),"",IFERROR(MATCH(D22,'Fee Rules'!$A$37:$A$46,0),MATCH("Most",'Fee Rules'!$A$37:$A$46,0)))</f>
        <v/>
      </c>
      <c r="W22" s="78">
        <f>IF(V22="","",ROUND(IF(INDEX('Fee Rules'!$C$37:$C$46,V22)="Tiered",MIN(I22,INDEX('Fee Rules'!$E$37:$E$46,V22))*INDEX('Fee Rules'!$D$37:$D$46,V22)+MAX(0,MIN(I22,IF(INDEX('Fee Rules'!$G$37:$G$46,V22)="",INDEX('Fee Rules'!$E$37:$E$46,V22),INDEX('Fee Rules'!$G$37:$G$46,V22)))-INDEX('Fee Rules'!$E$37:$E$46,V22))*IF(INDEX('Fee Rules'!$F$37:$F$46,V22)="",0,INDEX('Fee Rules'!$F$37:$F$46,V22))+MAX(0,I22-IF(INDEX('Fee Rules'!$G$37:$G$46,V22)="",INDEX('Fee Rules'!$E$37:$E$46,V22),INDEX('Fee Rules'!$G$37:$G$46,V22)))*INDEX('Fee Rules'!$H$37:$H$46,V22),I22*IF(IF(INDEX('Fee Rules'!$C$37:$C$46,V22)="Whole amount (total &lt; limit)",I22&lt;INDEX('Fee Rules'!$E$37:$E$46,V22),I22&lt;=INDEX('Fee Rules'!$E$37:$E$46,V22)),INDEX('Fee Rules'!$D$37:$D$46,V22),INDEX('Fee Rules'!$H$37:$H$46,V22)))+0.00000001,2))</f>
        <v/>
      </c>
      <c r="X22" s="78">
        <f>IF(V22="","",IF(AND(INDEX('Fee Rules'!$I$37:$I$46,V22)&lt;&gt;"",I22&gt;=INDEX('Fee Rules'!$I$37:$I$46,V22)),0,IF(I22&lt;='Fee Rules'!$C$13,'Fee Rules'!$C$11,'Fee Rules'!$C$12)))</f>
        <v/>
      </c>
      <c r="Y22" s="78">
        <f>IF(V22="","",W22+X22)</f>
        <v/>
      </c>
      <c r="Z22" s="78">
        <f>IF(OR(B22&lt;&gt;"Poshmark",F22=""),"",IF(F22&lt;'Fee Rules'!$C$16,'Fee Rules'!$C$15,ROUND(F22*'Fee Rules'!$C$17+0.00000001,2)))</f>
        <v/>
      </c>
      <c r="AA22" s="78">
        <f>IF(OR(B22&lt;&gt;"Mercari",F22=""),"",ROUND((F22+SUM(G22))*'Fee Rules'!$C$18+0.00000001,2))</f>
        <v/>
      </c>
      <c r="AB22" s="81">
        <f>IF(OR(B22&lt;&gt;"Whatnot",F22=""),"",INDEX('Fee Rules'!$C$53:$I$58,IFERROR(MATCH(D22,'Fee Rules'!$A$53:$A$58,0),MATCH("Other",'Fee Rules'!$A$53:$A$58,0)),IFERROR(MATCH(IF(E22="",'Fee Rules'!$C$21,E22),'Fee Rules'!$C$51:$I$51,0),1)))</f>
        <v/>
      </c>
      <c r="AC22" s="78">
        <f>IF(AB22="","",ROUND(F22*AB22+0.00000001,2)+IF(I22&gt;0,ROUND(I22*'Fee Rules'!$C$19+'Fee Rules'!$C$20+0.00000001,2),0))</f>
        <v/>
      </c>
      <c r="AD22" s="78">
        <f>IF(OR(B22&lt;&gt;"Depop",F22=""),"",ROUND(F22*'Fee Rules'!$C$22+0.00000001,2)+ROUND(I22*'Fee Rules'!$C$23+'Fee Rules'!$C$24+0.00000001,2)+IF(D22="Boosted",ROUND(F22*'Fee Rules'!$C$25+0.00000001,2),IF(D22="Boosted own label",ROUND((F22+SUM(G22))*'Fee Rules'!$C$25+0.00000001,2),0)))</f>
        <v/>
      </c>
      <c r="AE22" s="78">
        <f>IF(OR(B22&lt;&gt;"Etsy",F22=""),"",IF('Fee Rules'!$C$27="No",0,'Fee Rules'!$C$26)+ROUND((F22+SUM(G22))*'Fee Rules'!$C$28+0.00000001,2)+ROUND(I22*'Fee Rules'!$C$29+'Fee Rules'!$C$30+0.00000001,2))</f>
        <v/>
      </c>
      <c r="AF22" s="67">
        <f>IF(D22="","",IF(OR(AND(B22="eBay",COUNTIF('Fee Rules'!$A$37:$A$46,D22)&gt;0),AND(B22="Whatnot",COUNTIF('Fee Rules'!$A$53:$A$58,D22)&gt;0),AND(B22="Depop",OR(D22="Boosted",D22="Boosted own label"))),"","Option not used for "&amp;B22))</f>
        <v/>
      </c>
    </row>
    <row r="23">
      <c r="A23" s="76" t="n">
        <v>46290</v>
      </c>
      <c r="B23" s="41" t="inlineStr">
        <is>
          <t>Mercari</t>
        </is>
      </c>
      <c r="C23" s="41" t="inlineStr">
        <is>
          <t>Wireless headphones</t>
        </is>
      </c>
      <c r="D23" s="41" t="n"/>
      <c r="E23" s="41" t="n"/>
      <c r="F23" s="77" t="n">
        <v>85</v>
      </c>
      <c r="G23" s="77" t="n">
        <v>0</v>
      </c>
      <c r="H23" s="77" t="n"/>
      <c r="I23" s="78">
        <f>IF(F23="","",F23+SUM(G23)+SUM(H23))</f>
        <v/>
      </c>
      <c r="J23" s="78">
        <f>IF(F23="","",IF(B23="eBay",Y23,IF(B23="Poshmark",Z23,IF(B23="Mercari",AA23,IF(B23="Whatnot",AC23,IF(B23="Depop",AD23,IF(B23="Etsy",AE23,"n/a")))))))</f>
        <v/>
      </c>
      <c r="K23" s="77" t="n"/>
      <c r="L23" s="78">
        <f>IF(F23="","",IF(K23&lt;&gt;"",K23,IF(ISNUMBER(J23),J23,0)))</f>
        <v/>
      </c>
      <c r="M23" s="78">
        <f>IF(F23="","",F23+IF(B23="Poshmark",0,SUM(G23))-L23)</f>
        <v/>
      </c>
      <c r="N23" s="77" t="n">
        <v>9.1</v>
      </c>
      <c r="O23" s="77" t="n">
        <v>25</v>
      </c>
      <c r="P23" s="77" t="n"/>
      <c r="Q23" s="78">
        <f>IF(F23="","",F23+IF(B23="Poshmark",0,SUM(G23)))</f>
        <v/>
      </c>
      <c r="R23" s="78">
        <f>IF(F23="","",IF(B23="Poshmark",SUM(N23),IF(N23="",SUM(G23),N23)))</f>
        <v/>
      </c>
      <c r="S23" s="79">
        <f>IF(F23="","",M23-R23-SUM(P23)-SUM(O23))</f>
        <v/>
      </c>
      <c r="T23" s="80">
        <f>IF(OR(F23="",Q23=0),"",S23/Q23)</f>
        <v/>
      </c>
      <c r="V23" s="67">
        <f>IF(OR(B23&lt;&gt;"eBay",F23=""),"",IFERROR(MATCH(D23,'Fee Rules'!$A$37:$A$46,0),MATCH("Most",'Fee Rules'!$A$37:$A$46,0)))</f>
        <v/>
      </c>
      <c r="W23" s="78">
        <f>IF(V23="","",ROUND(IF(INDEX('Fee Rules'!$C$37:$C$46,V23)="Tiered",MIN(I23,INDEX('Fee Rules'!$E$37:$E$46,V23))*INDEX('Fee Rules'!$D$37:$D$46,V23)+MAX(0,MIN(I23,IF(INDEX('Fee Rules'!$G$37:$G$46,V23)="",INDEX('Fee Rules'!$E$37:$E$46,V23),INDEX('Fee Rules'!$G$37:$G$46,V23)))-INDEX('Fee Rules'!$E$37:$E$46,V23))*IF(INDEX('Fee Rules'!$F$37:$F$46,V23)="",0,INDEX('Fee Rules'!$F$37:$F$46,V23))+MAX(0,I23-IF(INDEX('Fee Rules'!$G$37:$G$46,V23)="",INDEX('Fee Rules'!$E$37:$E$46,V23),INDEX('Fee Rules'!$G$37:$G$46,V23)))*INDEX('Fee Rules'!$H$37:$H$46,V23),I23*IF(IF(INDEX('Fee Rules'!$C$37:$C$46,V23)="Whole amount (total &lt; limit)",I23&lt;INDEX('Fee Rules'!$E$37:$E$46,V23),I23&lt;=INDEX('Fee Rules'!$E$37:$E$46,V23)),INDEX('Fee Rules'!$D$37:$D$46,V23),INDEX('Fee Rules'!$H$37:$H$46,V23)))+0.00000001,2))</f>
        <v/>
      </c>
      <c r="X23" s="78">
        <f>IF(V23="","",IF(AND(INDEX('Fee Rules'!$I$37:$I$46,V23)&lt;&gt;"",I23&gt;=INDEX('Fee Rules'!$I$37:$I$46,V23)),0,IF(I23&lt;='Fee Rules'!$C$13,'Fee Rules'!$C$11,'Fee Rules'!$C$12)))</f>
        <v/>
      </c>
      <c r="Y23" s="78">
        <f>IF(V23="","",W23+X23)</f>
        <v/>
      </c>
      <c r="Z23" s="78">
        <f>IF(OR(B23&lt;&gt;"Poshmark",F23=""),"",IF(F23&lt;'Fee Rules'!$C$16,'Fee Rules'!$C$15,ROUND(F23*'Fee Rules'!$C$17+0.00000001,2)))</f>
        <v/>
      </c>
      <c r="AA23" s="78">
        <f>IF(OR(B23&lt;&gt;"Mercari",F23=""),"",ROUND((F23+SUM(G23))*'Fee Rules'!$C$18+0.00000001,2))</f>
        <v/>
      </c>
      <c r="AB23" s="81">
        <f>IF(OR(B23&lt;&gt;"Whatnot",F23=""),"",INDEX('Fee Rules'!$C$53:$I$58,IFERROR(MATCH(D23,'Fee Rules'!$A$53:$A$58,0),MATCH("Other",'Fee Rules'!$A$53:$A$58,0)),IFERROR(MATCH(IF(E23="",'Fee Rules'!$C$21,E23),'Fee Rules'!$C$51:$I$51,0),1)))</f>
        <v/>
      </c>
      <c r="AC23" s="78">
        <f>IF(AB23="","",ROUND(F23*AB23+0.00000001,2)+IF(I23&gt;0,ROUND(I23*'Fee Rules'!$C$19+'Fee Rules'!$C$20+0.00000001,2),0))</f>
        <v/>
      </c>
      <c r="AD23" s="78">
        <f>IF(OR(B23&lt;&gt;"Depop",F23=""),"",ROUND(F23*'Fee Rules'!$C$22+0.00000001,2)+ROUND(I23*'Fee Rules'!$C$23+'Fee Rules'!$C$24+0.00000001,2)+IF(D23="Boosted",ROUND(F23*'Fee Rules'!$C$25+0.00000001,2),IF(D23="Boosted own label",ROUND((F23+SUM(G23))*'Fee Rules'!$C$25+0.00000001,2),0)))</f>
        <v/>
      </c>
      <c r="AE23" s="78">
        <f>IF(OR(B23&lt;&gt;"Etsy",F23=""),"",IF('Fee Rules'!$C$27="No",0,'Fee Rules'!$C$26)+ROUND((F23+SUM(G23))*'Fee Rules'!$C$28+0.00000001,2)+ROUND(I23*'Fee Rules'!$C$29+'Fee Rules'!$C$30+0.00000001,2))</f>
        <v/>
      </c>
      <c r="AF23" s="67">
        <f>IF(D23="","",IF(OR(AND(B23="eBay",COUNTIF('Fee Rules'!$A$37:$A$46,D23)&gt;0),AND(B23="Whatnot",COUNTIF('Fee Rules'!$A$53:$A$58,D23)&gt;0),AND(B23="Depop",OR(D23="Boosted",D23="Boosted own label"))),"","Option not used for "&amp;B23))</f>
        <v/>
      </c>
    </row>
    <row r="24">
      <c r="A24" s="76" t="n">
        <v>46291</v>
      </c>
      <c r="B24" s="41" t="inlineStr">
        <is>
          <t>Whatnot</t>
        </is>
      </c>
      <c r="C24" s="41" t="inlineStr">
        <is>
          <t>Vinyl figure</t>
        </is>
      </c>
      <c r="D24" s="41" t="inlineStr">
        <is>
          <t>Collectibles</t>
        </is>
      </c>
      <c r="E24" s="41" t="inlineStr">
        <is>
          <t>Tier 1</t>
        </is>
      </c>
      <c r="F24" s="77" t="n">
        <v>25</v>
      </c>
      <c r="G24" s="77" t="n">
        <v>5.99</v>
      </c>
      <c r="H24" s="77" t="n">
        <v>2</v>
      </c>
      <c r="I24" s="78">
        <f>IF(F24="","",F24+SUM(G24)+SUM(H24))</f>
        <v/>
      </c>
      <c r="J24" s="78">
        <f>IF(F24="","",IF(B24="eBay",Y24,IF(B24="Poshmark",Z24,IF(B24="Mercari",AA24,IF(B24="Whatnot",AC24,IF(B24="Depop",AD24,IF(B24="Etsy",AE24,"n/a")))))))</f>
        <v/>
      </c>
      <c r="K24" s="77" t="n"/>
      <c r="L24" s="78">
        <f>IF(F24="","",IF(K24&lt;&gt;"",K24,IF(ISNUMBER(J24),J24,0)))</f>
        <v/>
      </c>
      <c r="M24" s="78">
        <f>IF(F24="","",F24+IF(B24="Poshmark",0,SUM(G24))-L24)</f>
        <v/>
      </c>
      <c r="N24" s="77" t="n"/>
      <c r="O24" s="77" t="n">
        <v>8</v>
      </c>
      <c r="P24" s="77" t="n"/>
      <c r="Q24" s="78">
        <f>IF(F24="","",F24+IF(B24="Poshmark",0,SUM(G24)))</f>
        <v/>
      </c>
      <c r="R24" s="78">
        <f>IF(F24="","",IF(B24="Poshmark",SUM(N24),IF(N24="",SUM(G24),N24)))</f>
        <v/>
      </c>
      <c r="S24" s="79">
        <f>IF(F24="","",M24-R24-SUM(P24)-SUM(O24))</f>
        <v/>
      </c>
      <c r="T24" s="80">
        <f>IF(OR(F24="",Q24=0),"",S24/Q24)</f>
        <v/>
      </c>
      <c r="V24" s="67">
        <f>IF(OR(B24&lt;&gt;"eBay",F24=""),"",IFERROR(MATCH(D24,'Fee Rules'!$A$37:$A$46,0),MATCH("Most",'Fee Rules'!$A$37:$A$46,0)))</f>
        <v/>
      </c>
      <c r="W24" s="78">
        <f>IF(V24="","",ROUND(IF(INDEX('Fee Rules'!$C$37:$C$46,V24)="Tiered",MIN(I24,INDEX('Fee Rules'!$E$37:$E$46,V24))*INDEX('Fee Rules'!$D$37:$D$46,V24)+MAX(0,MIN(I24,IF(INDEX('Fee Rules'!$G$37:$G$46,V24)="",INDEX('Fee Rules'!$E$37:$E$46,V24),INDEX('Fee Rules'!$G$37:$G$46,V24)))-INDEX('Fee Rules'!$E$37:$E$46,V24))*IF(INDEX('Fee Rules'!$F$37:$F$46,V24)="",0,INDEX('Fee Rules'!$F$37:$F$46,V24))+MAX(0,I24-IF(INDEX('Fee Rules'!$G$37:$G$46,V24)="",INDEX('Fee Rules'!$E$37:$E$46,V24),INDEX('Fee Rules'!$G$37:$G$46,V24)))*INDEX('Fee Rules'!$H$37:$H$46,V24),I24*IF(IF(INDEX('Fee Rules'!$C$37:$C$46,V24)="Whole amount (total &lt; limit)",I24&lt;INDEX('Fee Rules'!$E$37:$E$46,V24),I24&lt;=INDEX('Fee Rules'!$E$37:$E$46,V24)),INDEX('Fee Rules'!$D$37:$D$46,V24),INDEX('Fee Rules'!$H$37:$H$46,V24)))+0.00000001,2))</f>
        <v/>
      </c>
      <c r="X24" s="78">
        <f>IF(V24="","",IF(AND(INDEX('Fee Rules'!$I$37:$I$46,V24)&lt;&gt;"",I24&gt;=INDEX('Fee Rules'!$I$37:$I$46,V24)),0,IF(I24&lt;='Fee Rules'!$C$13,'Fee Rules'!$C$11,'Fee Rules'!$C$12)))</f>
        <v/>
      </c>
      <c r="Y24" s="78">
        <f>IF(V24="","",W24+X24)</f>
        <v/>
      </c>
      <c r="Z24" s="78">
        <f>IF(OR(B24&lt;&gt;"Poshmark",F24=""),"",IF(F24&lt;'Fee Rules'!$C$16,'Fee Rules'!$C$15,ROUND(F24*'Fee Rules'!$C$17+0.00000001,2)))</f>
        <v/>
      </c>
      <c r="AA24" s="78">
        <f>IF(OR(B24&lt;&gt;"Mercari",F24=""),"",ROUND((F24+SUM(G24))*'Fee Rules'!$C$18+0.00000001,2))</f>
        <v/>
      </c>
      <c r="AB24" s="81">
        <f>IF(OR(B24&lt;&gt;"Whatnot",F24=""),"",INDEX('Fee Rules'!$C$53:$I$58,IFERROR(MATCH(D24,'Fee Rules'!$A$53:$A$58,0),MATCH("Other",'Fee Rules'!$A$53:$A$58,0)),IFERROR(MATCH(IF(E24="",'Fee Rules'!$C$21,E24),'Fee Rules'!$C$51:$I$51,0),1)))</f>
        <v/>
      </c>
      <c r="AC24" s="78">
        <f>IF(AB24="","",ROUND(F24*AB24+0.00000001,2)+IF(I24&gt;0,ROUND(I24*'Fee Rules'!$C$19+'Fee Rules'!$C$20+0.00000001,2),0))</f>
        <v/>
      </c>
      <c r="AD24" s="78">
        <f>IF(OR(B24&lt;&gt;"Depop",F24=""),"",ROUND(F24*'Fee Rules'!$C$22+0.00000001,2)+ROUND(I24*'Fee Rules'!$C$23+'Fee Rules'!$C$24+0.00000001,2)+IF(D24="Boosted",ROUND(F24*'Fee Rules'!$C$25+0.00000001,2),IF(D24="Boosted own label",ROUND((F24+SUM(G24))*'Fee Rules'!$C$25+0.00000001,2),0)))</f>
        <v/>
      </c>
      <c r="AE24" s="78">
        <f>IF(OR(B24&lt;&gt;"Etsy",F24=""),"",IF('Fee Rules'!$C$27="No",0,'Fee Rules'!$C$26)+ROUND((F24+SUM(G24))*'Fee Rules'!$C$28+0.00000001,2)+ROUND(I24*'Fee Rules'!$C$29+'Fee Rules'!$C$30+0.00000001,2))</f>
        <v/>
      </c>
      <c r="AF24" s="67">
        <f>IF(D24="","",IF(OR(AND(B24="eBay",COUNTIF('Fee Rules'!$A$37:$A$46,D24)&gt;0),AND(B24="Whatnot",COUNTIF('Fee Rules'!$A$53:$A$58,D24)&gt;0),AND(B24="Depop",OR(D24="Boosted",D24="Boosted own label"))),"","Option not used for "&amp;B24))</f>
        <v/>
      </c>
    </row>
    <row r="25">
      <c r="A25" s="76" t="n">
        <v>46293</v>
      </c>
      <c r="B25" s="41" t="inlineStr">
        <is>
          <t>Facebook Marketplace</t>
        </is>
      </c>
      <c r="C25" s="41" t="inlineStr">
        <is>
          <t>Kids' bike</t>
        </is>
      </c>
      <c r="D25" s="41" t="n"/>
      <c r="E25" s="41" t="n"/>
      <c r="F25" s="77" t="n">
        <v>40</v>
      </c>
      <c r="G25" s="77" t="n"/>
      <c r="H25" s="77" t="n"/>
      <c r="I25" s="78">
        <f>IF(F25="","",F25+SUM(G25)+SUM(H25))</f>
        <v/>
      </c>
      <c r="J25" s="78">
        <f>IF(F25="","",IF(B25="eBay",Y25,IF(B25="Poshmark",Z25,IF(B25="Mercari",AA25,IF(B25="Whatnot",AC25,IF(B25="Depop",AD25,IF(B25="Etsy",AE25,"n/a")))))))</f>
        <v/>
      </c>
      <c r="K25" s="77" t="n">
        <v>0</v>
      </c>
      <c r="L25" s="78">
        <f>IF(F25="","",IF(K25&lt;&gt;"",K25,IF(ISNUMBER(J25),J25,0)))</f>
        <v/>
      </c>
      <c r="M25" s="78">
        <f>IF(F25="","",F25+IF(B25="Poshmark",0,SUM(G25))-L25)</f>
        <v/>
      </c>
      <c r="N25" s="77" t="n"/>
      <c r="O25" s="77" t="n">
        <v>10</v>
      </c>
      <c r="P25" s="77" t="n"/>
      <c r="Q25" s="78">
        <f>IF(F25="","",F25+IF(B25="Poshmark",0,SUM(G25)))</f>
        <v/>
      </c>
      <c r="R25" s="78">
        <f>IF(F25="","",IF(B25="Poshmark",SUM(N25),IF(N25="",SUM(G25),N25)))</f>
        <v/>
      </c>
      <c r="S25" s="79">
        <f>IF(F25="","",M25-R25-SUM(P25)-SUM(O25))</f>
        <v/>
      </c>
      <c r="T25" s="80">
        <f>IF(OR(F25="",Q25=0),"",S25/Q25)</f>
        <v/>
      </c>
      <c r="V25" s="67">
        <f>IF(OR(B25&lt;&gt;"eBay",F25=""),"",IFERROR(MATCH(D25,'Fee Rules'!$A$37:$A$46,0),MATCH("Most",'Fee Rules'!$A$37:$A$46,0)))</f>
        <v/>
      </c>
      <c r="W25" s="78">
        <f>IF(V25="","",ROUND(IF(INDEX('Fee Rules'!$C$37:$C$46,V25)="Tiered",MIN(I25,INDEX('Fee Rules'!$E$37:$E$46,V25))*INDEX('Fee Rules'!$D$37:$D$46,V25)+MAX(0,MIN(I25,IF(INDEX('Fee Rules'!$G$37:$G$46,V25)="",INDEX('Fee Rules'!$E$37:$E$46,V25),INDEX('Fee Rules'!$G$37:$G$46,V25)))-INDEX('Fee Rules'!$E$37:$E$46,V25))*IF(INDEX('Fee Rules'!$F$37:$F$46,V25)="",0,INDEX('Fee Rules'!$F$37:$F$46,V25))+MAX(0,I25-IF(INDEX('Fee Rules'!$G$37:$G$46,V25)="",INDEX('Fee Rules'!$E$37:$E$46,V25),INDEX('Fee Rules'!$G$37:$G$46,V25)))*INDEX('Fee Rules'!$H$37:$H$46,V25),I25*IF(IF(INDEX('Fee Rules'!$C$37:$C$46,V25)="Whole amount (total &lt; limit)",I25&lt;INDEX('Fee Rules'!$E$37:$E$46,V25),I25&lt;=INDEX('Fee Rules'!$E$37:$E$46,V25)),INDEX('Fee Rules'!$D$37:$D$46,V25),INDEX('Fee Rules'!$H$37:$H$46,V25)))+0.00000001,2))</f>
        <v/>
      </c>
      <c r="X25" s="78">
        <f>IF(V25="","",IF(AND(INDEX('Fee Rules'!$I$37:$I$46,V25)&lt;&gt;"",I25&gt;=INDEX('Fee Rules'!$I$37:$I$46,V25)),0,IF(I25&lt;='Fee Rules'!$C$13,'Fee Rules'!$C$11,'Fee Rules'!$C$12)))</f>
        <v/>
      </c>
      <c r="Y25" s="78">
        <f>IF(V25="","",W25+X25)</f>
        <v/>
      </c>
      <c r="Z25" s="78">
        <f>IF(OR(B25&lt;&gt;"Poshmark",F25=""),"",IF(F25&lt;'Fee Rules'!$C$16,'Fee Rules'!$C$15,ROUND(F25*'Fee Rules'!$C$17+0.00000001,2)))</f>
        <v/>
      </c>
      <c r="AA25" s="78">
        <f>IF(OR(B25&lt;&gt;"Mercari",F25=""),"",ROUND((F25+SUM(G25))*'Fee Rules'!$C$18+0.00000001,2))</f>
        <v/>
      </c>
      <c r="AB25" s="81">
        <f>IF(OR(B25&lt;&gt;"Whatnot",F25=""),"",INDEX('Fee Rules'!$C$53:$I$58,IFERROR(MATCH(D25,'Fee Rules'!$A$53:$A$58,0),MATCH("Other",'Fee Rules'!$A$53:$A$58,0)),IFERROR(MATCH(IF(E25="",'Fee Rules'!$C$21,E25),'Fee Rules'!$C$51:$I$51,0),1)))</f>
        <v/>
      </c>
      <c r="AC25" s="78">
        <f>IF(AB25="","",ROUND(F25*AB25+0.00000001,2)+IF(I25&gt;0,ROUND(I25*'Fee Rules'!$C$19+'Fee Rules'!$C$20+0.00000001,2),0))</f>
        <v/>
      </c>
      <c r="AD25" s="78">
        <f>IF(OR(B25&lt;&gt;"Depop",F25=""),"",ROUND(F25*'Fee Rules'!$C$22+0.00000001,2)+ROUND(I25*'Fee Rules'!$C$23+'Fee Rules'!$C$24+0.00000001,2)+IF(D25="Boosted",ROUND(F25*'Fee Rules'!$C$25+0.00000001,2),IF(D25="Boosted own label",ROUND((F25+SUM(G25))*'Fee Rules'!$C$25+0.00000001,2),0)))</f>
        <v/>
      </c>
      <c r="AE25" s="78">
        <f>IF(OR(B25&lt;&gt;"Etsy",F25=""),"",IF('Fee Rules'!$C$27="No",0,'Fee Rules'!$C$26)+ROUND((F25+SUM(G25))*'Fee Rules'!$C$28+0.00000001,2)+ROUND(I25*'Fee Rules'!$C$29+'Fee Rules'!$C$30+0.00000001,2))</f>
        <v/>
      </c>
      <c r="AF25" s="67">
        <f>IF(D25="","",IF(OR(AND(B25="eBay",COUNTIF('Fee Rules'!$A$37:$A$46,D25)&gt;0),AND(B25="Whatnot",COUNTIF('Fee Rules'!$A$53:$A$58,D25)&gt;0),AND(B25="Depop",OR(D25="Boosted",D25="Boosted own label"))),"","Option not used for "&amp;B25))</f>
        <v/>
      </c>
    </row>
    <row r="26">
      <c r="A26" s="76" t="n">
        <v>46294</v>
      </c>
      <c r="B26" s="41" t="inlineStr">
        <is>
          <t>Poshmark</t>
        </is>
      </c>
      <c r="C26" s="41" t="inlineStr">
        <is>
          <t>Canvas tote bag</t>
        </is>
      </c>
      <c r="D26" s="41" t="n"/>
      <c r="E26" s="41" t="n"/>
      <c r="F26" s="77" t="n">
        <v>30</v>
      </c>
      <c r="G26" s="77" t="n"/>
      <c r="H26" s="77" t="n"/>
      <c r="I26" s="78">
        <f>IF(F26="","",F26+SUM(G26)+SUM(H26))</f>
        <v/>
      </c>
      <c r="J26" s="78">
        <f>IF(F26="","",IF(B26="eBay",Y26,IF(B26="Poshmark",Z26,IF(B26="Mercari",AA26,IF(B26="Whatnot",AC26,IF(B26="Depop",AD26,IF(B26="Etsy",AE26,"n/a")))))))</f>
        <v/>
      </c>
      <c r="K26" s="77" t="n"/>
      <c r="L26" s="78">
        <f>IF(F26="","",IF(K26&lt;&gt;"",K26,IF(ISNUMBER(J26),J26,0)))</f>
        <v/>
      </c>
      <c r="M26" s="78">
        <f>IF(F26="","",F26+IF(B26="Poshmark",0,SUM(G26))-L26)</f>
        <v/>
      </c>
      <c r="N26" s="77" t="n"/>
      <c r="O26" s="77" t="n">
        <v>6</v>
      </c>
      <c r="P26" s="77" t="n"/>
      <c r="Q26" s="78">
        <f>IF(F26="","",F26+IF(B26="Poshmark",0,SUM(G26)))</f>
        <v/>
      </c>
      <c r="R26" s="78">
        <f>IF(F26="","",IF(B26="Poshmark",SUM(N26),IF(N26="",SUM(G26),N26)))</f>
        <v/>
      </c>
      <c r="S26" s="79">
        <f>IF(F26="","",M26-R26-SUM(P26)-SUM(O26))</f>
        <v/>
      </c>
      <c r="T26" s="80">
        <f>IF(OR(F26="",Q26=0),"",S26/Q26)</f>
        <v/>
      </c>
      <c r="V26" s="67">
        <f>IF(OR(B26&lt;&gt;"eBay",F26=""),"",IFERROR(MATCH(D26,'Fee Rules'!$A$37:$A$46,0),MATCH("Most",'Fee Rules'!$A$37:$A$46,0)))</f>
        <v/>
      </c>
      <c r="W26" s="78">
        <f>IF(V26="","",ROUND(IF(INDEX('Fee Rules'!$C$37:$C$46,V26)="Tiered",MIN(I26,INDEX('Fee Rules'!$E$37:$E$46,V26))*INDEX('Fee Rules'!$D$37:$D$46,V26)+MAX(0,MIN(I26,IF(INDEX('Fee Rules'!$G$37:$G$46,V26)="",INDEX('Fee Rules'!$E$37:$E$46,V26),INDEX('Fee Rules'!$G$37:$G$46,V26)))-INDEX('Fee Rules'!$E$37:$E$46,V26))*IF(INDEX('Fee Rules'!$F$37:$F$46,V26)="",0,INDEX('Fee Rules'!$F$37:$F$46,V26))+MAX(0,I26-IF(INDEX('Fee Rules'!$G$37:$G$46,V26)="",INDEX('Fee Rules'!$E$37:$E$46,V26),INDEX('Fee Rules'!$G$37:$G$46,V26)))*INDEX('Fee Rules'!$H$37:$H$46,V26),I26*IF(IF(INDEX('Fee Rules'!$C$37:$C$46,V26)="Whole amount (total &lt; limit)",I26&lt;INDEX('Fee Rules'!$E$37:$E$46,V26),I26&lt;=INDEX('Fee Rules'!$E$37:$E$46,V26)),INDEX('Fee Rules'!$D$37:$D$46,V26),INDEX('Fee Rules'!$H$37:$H$46,V26)))+0.00000001,2))</f>
        <v/>
      </c>
      <c r="X26" s="78">
        <f>IF(V26="","",IF(AND(INDEX('Fee Rules'!$I$37:$I$46,V26)&lt;&gt;"",I26&gt;=INDEX('Fee Rules'!$I$37:$I$46,V26)),0,IF(I26&lt;='Fee Rules'!$C$13,'Fee Rules'!$C$11,'Fee Rules'!$C$12)))</f>
        <v/>
      </c>
      <c r="Y26" s="78">
        <f>IF(V26="","",W26+X26)</f>
        <v/>
      </c>
      <c r="Z26" s="78">
        <f>IF(OR(B26&lt;&gt;"Poshmark",F26=""),"",IF(F26&lt;'Fee Rules'!$C$16,'Fee Rules'!$C$15,ROUND(F26*'Fee Rules'!$C$17+0.00000001,2)))</f>
        <v/>
      </c>
      <c r="AA26" s="78">
        <f>IF(OR(B26&lt;&gt;"Mercari",F26=""),"",ROUND((F26+SUM(G26))*'Fee Rules'!$C$18+0.00000001,2))</f>
        <v/>
      </c>
      <c r="AB26" s="81">
        <f>IF(OR(B26&lt;&gt;"Whatnot",F26=""),"",INDEX('Fee Rules'!$C$53:$I$58,IFERROR(MATCH(D26,'Fee Rules'!$A$53:$A$58,0),MATCH("Other",'Fee Rules'!$A$53:$A$58,0)),IFERROR(MATCH(IF(E26="",'Fee Rules'!$C$21,E26),'Fee Rules'!$C$51:$I$51,0),1)))</f>
        <v/>
      </c>
      <c r="AC26" s="78">
        <f>IF(AB26="","",ROUND(F26*AB26+0.00000001,2)+IF(I26&gt;0,ROUND(I26*'Fee Rules'!$C$19+'Fee Rules'!$C$20+0.00000001,2),0))</f>
        <v/>
      </c>
      <c r="AD26" s="78">
        <f>IF(OR(B26&lt;&gt;"Depop",F26=""),"",ROUND(F26*'Fee Rules'!$C$22+0.00000001,2)+ROUND(I26*'Fee Rules'!$C$23+'Fee Rules'!$C$24+0.00000001,2)+IF(D26="Boosted",ROUND(F26*'Fee Rules'!$C$25+0.00000001,2),IF(D26="Boosted own label",ROUND((F26+SUM(G26))*'Fee Rules'!$C$25+0.00000001,2),0)))</f>
        <v/>
      </c>
      <c r="AE26" s="78">
        <f>IF(OR(B26&lt;&gt;"Etsy",F26=""),"",IF('Fee Rules'!$C$27="No",0,'Fee Rules'!$C$26)+ROUND((F26+SUM(G26))*'Fee Rules'!$C$28+0.00000001,2)+ROUND(I26*'Fee Rules'!$C$29+'Fee Rules'!$C$30+0.00000001,2))</f>
        <v/>
      </c>
      <c r="AF26" s="67">
        <f>IF(D26="","",IF(OR(AND(B26="eBay",COUNTIF('Fee Rules'!$A$37:$A$46,D26)&gt;0),AND(B26="Whatnot",COUNTIF('Fee Rules'!$A$53:$A$58,D26)&gt;0),AND(B26="Depop",OR(D26="Boosted",D26="Boosted own label"))),"","Option not used for "&amp;B26))</f>
        <v/>
      </c>
    </row>
    <row r="27">
      <c r="A27" s="76" t="n">
        <v>46296</v>
      </c>
      <c r="B27" s="41" t="inlineStr">
        <is>
          <t>eBay</t>
        </is>
      </c>
      <c r="C27" s="41" t="inlineStr">
        <is>
          <t>Comic book lot</t>
        </is>
      </c>
      <c r="D27" s="41" t="inlineStr">
        <is>
          <t>Trading cards</t>
        </is>
      </c>
      <c r="E27" s="41" t="n"/>
      <c r="F27" s="77" t="n">
        <v>52</v>
      </c>
      <c r="G27" s="77" t="n">
        <v>6</v>
      </c>
      <c r="H27" s="77" t="n">
        <v>4.5</v>
      </c>
      <c r="I27" s="78">
        <f>IF(F27="","",F27+SUM(G27)+SUM(H27))</f>
        <v/>
      </c>
      <c r="J27" s="78">
        <f>IF(F27="","",IF(B27="eBay",Y27,IF(B27="Poshmark",Z27,IF(B27="Mercari",AA27,IF(B27="Whatnot",AC27,IF(B27="Depop",AD27,IF(B27="Etsy",AE27,"n/a")))))))</f>
        <v/>
      </c>
      <c r="K27" s="77" t="n"/>
      <c r="L27" s="78">
        <f>IF(F27="","",IF(K27&lt;&gt;"",K27,IF(ISNUMBER(J27),J27,0)))</f>
        <v/>
      </c>
      <c r="M27" s="78">
        <f>IF(F27="","",F27+IF(B27="Poshmark",0,SUM(G27))-L27)</f>
        <v/>
      </c>
      <c r="N27" s="77" t="n">
        <v>5.75</v>
      </c>
      <c r="O27" s="77" t="n">
        <v>14</v>
      </c>
      <c r="P27" s="77" t="n"/>
      <c r="Q27" s="78">
        <f>IF(F27="","",F27+IF(B27="Poshmark",0,SUM(G27)))</f>
        <v/>
      </c>
      <c r="R27" s="78">
        <f>IF(F27="","",IF(B27="Poshmark",SUM(N27),IF(N27="",SUM(G27),N27)))</f>
        <v/>
      </c>
      <c r="S27" s="79">
        <f>IF(F27="","",M27-R27-SUM(P27)-SUM(O27))</f>
        <v/>
      </c>
      <c r="T27" s="80">
        <f>IF(OR(F27="",Q27=0),"",S27/Q27)</f>
        <v/>
      </c>
      <c r="V27" s="67">
        <f>IF(OR(B27&lt;&gt;"eBay",F27=""),"",IFERROR(MATCH(D27,'Fee Rules'!$A$37:$A$46,0),MATCH("Most",'Fee Rules'!$A$37:$A$46,0)))</f>
        <v/>
      </c>
      <c r="W27" s="78">
        <f>IF(V27="","",ROUND(IF(INDEX('Fee Rules'!$C$37:$C$46,V27)="Tiered",MIN(I27,INDEX('Fee Rules'!$E$37:$E$46,V27))*INDEX('Fee Rules'!$D$37:$D$46,V27)+MAX(0,MIN(I27,IF(INDEX('Fee Rules'!$G$37:$G$46,V27)="",INDEX('Fee Rules'!$E$37:$E$46,V27),INDEX('Fee Rules'!$G$37:$G$46,V27)))-INDEX('Fee Rules'!$E$37:$E$46,V27))*IF(INDEX('Fee Rules'!$F$37:$F$46,V27)="",0,INDEX('Fee Rules'!$F$37:$F$46,V27))+MAX(0,I27-IF(INDEX('Fee Rules'!$G$37:$G$46,V27)="",INDEX('Fee Rules'!$E$37:$E$46,V27),INDEX('Fee Rules'!$G$37:$G$46,V27)))*INDEX('Fee Rules'!$H$37:$H$46,V27),I27*IF(IF(INDEX('Fee Rules'!$C$37:$C$46,V27)="Whole amount (total &lt; limit)",I27&lt;INDEX('Fee Rules'!$E$37:$E$46,V27),I27&lt;=INDEX('Fee Rules'!$E$37:$E$46,V27)),INDEX('Fee Rules'!$D$37:$D$46,V27),INDEX('Fee Rules'!$H$37:$H$46,V27)))+0.00000001,2))</f>
        <v/>
      </c>
      <c r="X27" s="78">
        <f>IF(V27="","",IF(AND(INDEX('Fee Rules'!$I$37:$I$46,V27)&lt;&gt;"",I27&gt;=INDEX('Fee Rules'!$I$37:$I$46,V27)),0,IF(I27&lt;='Fee Rules'!$C$13,'Fee Rules'!$C$11,'Fee Rules'!$C$12)))</f>
        <v/>
      </c>
      <c r="Y27" s="78">
        <f>IF(V27="","",W27+X27)</f>
        <v/>
      </c>
      <c r="Z27" s="78">
        <f>IF(OR(B27&lt;&gt;"Poshmark",F27=""),"",IF(F27&lt;'Fee Rules'!$C$16,'Fee Rules'!$C$15,ROUND(F27*'Fee Rules'!$C$17+0.00000001,2)))</f>
        <v/>
      </c>
      <c r="AA27" s="78">
        <f>IF(OR(B27&lt;&gt;"Mercari",F27=""),"",ROUND((F27+SUM(G27))*'Fee Rules'!$C$18+0.00000001,2))</f>
        <v/>
      </c>
      <c r="AB27" s="81">
        <f>IF(OR(B27&lt;&gt;"Whatnot",F27=""),"",INDEX('Fee Rules'!$C$53:$I$58,IFERROR(MATCH(D27,'Fee Rules'!$A$53:$A$58,0),MATCH("Other",'Fee Rules'!$A$53:$A$58,0)),IFERROR(MATCH(IF(E27="",'Fee Rules'!$C$21,E27),'Fee Rules'!$C$51:$I$51,0),1)))</f>
        <v/>
      </c>
      <c r="AC27" s="78">
        <f>IF(AB27="","",ROUND(F27*AB27+0.00000001,2)+IF(I27&gt;0,ROUND(I27*'Fee Rules'!$C$19+'Fee Rules'!$C$20+0.00000001,2),0))</f>
        <v/>
      </c>
      <c r="AD27" s="78">
        <f>IF(OR(B27&lt;&gt;"Depop",F27=""),"",ROUND(F27*'Fee Rules'!$C$22+0.00000001,2)+ROUND(I27*'Fee Rules'!$C$23+'Fee Rules'!$C$24+0.00000001,2)+IF(D27="Boosted",ROUND(F27*'Fee Rules'!$C$25+0.00000001,2),IF(D27="Boosted own label",ROUND((F27+SUM(G27))*'Fee Rules'!$C$25+0.00000001,2),0)))</f>
        <v/>
      </c>
      <c r="AE27" s="78">
        <f>IF(OR(B27&lt;&gt;"Etsy",F27=""),"",IF('Fee Rules'!$C$27="No",0,'Fee Rules'!$C$26)+ROUND((F27+SUM(G27))*'Fee Rules'!$C$28+0.00000001,2)+ROUND(I27*'Fee Rules'!$C$29+'Fee Rules'!$C$30+0.00000001,2))</f>
        <v/>
      </c>
      <c r="AF27" s="67">
        <f>IF(D27="","",IF(OR(AND(B27="eBay",COUNTIF('Fee Rules'!$A$37:$A$46,D27)&gt;0),AND(B27="Whatnot",COUNTIF('Fee Rules'!$A$53:$A$58,D27)&gt;0),AND(B27="Depop",OR(D27="Boosted",D27="Boosted own label"))),"","Option not used for "&amp;B27))</f>
        <v/>
      </c>
    </row>
    <row r="28">
      <c r="A28" s="76" t="n">
        <v>46297</v>
      </c>
      <c r="B28" s="41" t="inlineStr">
        <is>
          <t>Depop</t>
        </is>
      </c>
      <c r="C28" s="41" t="inlineStr">
        <is>
          <t>Work jacket</t>
        </is>
      </c>
      <c r="D28" s="41" t="inlineStr">
        <is>
          <t>Boosted own label</t>
        </is>
      </c>
      <c r="E28" s="41" t="n"/>
      <c r="F28" s="77" t="n">
        <v>70</v>
      </c>
      <c r="G28" s="77" t="n">
        <v>10</v>
      </c>
      <c r="H28" s="77" t="n">
        <v>6</v>
      </c>
      <c r="I28" s="78">
        <f>IF(F28="","",F28+SUM(G28)+SUM(H28))</f>
        <v/>
      </c>
      <c r="J28" s="78">
        <f>IF(F28="","",IF(B28="eBay",Y28,IF(B28="Poshmark",Z28,IF(B28="Mercari",AA28,IF(B28="Whatnot",AC28,IF(B28="Depop",AD28,IF(B28="Etsy",AE28,"n/a")))))))</f>
        <v/>
      </c>
      <c r="K28" s="77" t="n"/>
      <c r="L28" s="78">
        <f>IF(F28="","",IF(K28&lt;&gt;"",K28,IF(ISNUMBER(J28),J28,0)))</f>
        <v/>
      </c>
      <c r="M28" s="78">
        <f>IF(F28="","",F28+IF(B28="Poshmark",0,SUM(G28))-L28)</f>
        <v/>
      </c>
      <c r="N28" s="77" t="n">
        <v>11.5</v>
      </c>
      <c r="O28" s="77" t="n">
        <v>20</v>
      </c>
      <c r="P28" s="77" t="n"/>
      <c r="Q28" s="78">
        <f>IF(F28="","",F28+IF(B28="Poshmark",0,SUM(G28)))</f>
        <v/>
      </c>
      <c r="R28" s="78">
        <f>IF(F28="","",IF(B28="Poshmark",SUM(N28),IF(N28="",SUM(G28),N28)))</f>
        <v/>
      </c>
      <c r="S28" s="79">
        <f>IF(F28="","",M28-R28-SUM(P28)-SUM(O28))</f>
        <v/>
      </c>
      <c r="T28" s="80">
        <f>IF(OR(F28="",Q28=0),"",S28/Q28)</f>
        <v/>
      </c>
      <c r="V28" s="67">
        <f>IF(OR(B28&lt;&gt;"eBay",F28=""),"",IFERROR(MATCH(D28,'Fee Rules'!$A$37:$A$46,0),MATCH("Most",'Fee Rules'!$A$37:$A$46,0)))</f>
        <v/>
      </c>
      <c r="W28" s="78">
        <f>IF(V28="","",ROUND(IF(INDEX('Fee Rules'!$C$37:$C$46,V28)="Tiered",MIN(I28,INDEX('Fee Rules'!$E$37:$E$46,V28))*INDEX('Fee Rules'!$D$37:$D$46,V28)+MAX(0,MIN(I28,IF(INDEX('Fee Rules'!$G$37:$G$46,V28)="",INDEX('Fee Rules'!$E$37:$E$46,V28),INDEX('Fee Rules'!$G$37:$G$46,V28)))-INDEX('Fee Rules'!$E$37:$E$46,V28))*IF(INDEX('Fee Rules'!$F$37:$F$46,V28)="",0,INDEX('Fee Rules'!$F$37:$F$46,V28))+MAX(0,I28-IF(INDEX('Fee Rules'!$G$37:$G$46,V28)="",INDEX('Fee Rules'!$E$37:$E$46,V28),INDEX('Fee Rules'!$G$37:$G$46,V28)))*INDEX('Fee Rules'!$H$37:$H$46,V28),I28*IF(IF(INDEX('Fee Rules'!$C$37:$C$46,V28)="Whole amount (total &lt; limit)",I28&lt;INDEX('Fee Rules'!$E$37:$E$46,V28),I28&lt;=INDEX('Fee Rules'!$E$37:$E$46,V28)),INDEX('Fee Rules'!$D$37:$D$46,V28),INDEX('Fee Rules'!$H$37:$H$46,V28)))+0.00000001,2))</f>
        <v/>
      </c>
      <c r="X28" s="78">
        <f>IF(V28="","",IF(AND(INDEX('Fee Rules'!$I$37:$I$46,V28)&lt;&gt;"",I28&gt;=INDEX('Fee Rules'!$I$37:$I$46,V28)),0,IF(I28&lt;='Fee Rules'!$C$13,'Fee Rules'!$C$11,'Fee Rules'!$C$12)))</f>
        <v/>
      </c>
      <c r="Y28" s="78">
        <f>IF(V28="","",W28+X28)</f>
        <v/>
      </c>
      <c r="Z28" s="78">
        <f>IF(OR(B28&lt;&gt;"Poshmark",F28=""),"",IF(F28&lt;'Fee Rules'!$C$16,'Fee Rules'!$C$15,ROUND(F28*'Fee Rules'!$C$17+0.00000001,2)))</f>
        <v/>
      </c>
      <c r="AA28" s="78">
        <f>IF(OR(B28&lt;&gt;"Mercari",F28=""),"",ROUND((F28+SUM(G28))*'Fee Rules'!$C$18+0.00000001,2))</f>
        <v/>
      </c>
      <c r="AB28" s="81">
        <f>IF(OR(B28&lt;&gt;"Whatnot",F28=""),"",INDEX('Fee Rules'!$C$53:$I$58,IFERROR(MATCH(D28,'Fee Rules'!$A$53:$A$58,0),MATCH("Other",'Fee Rules'!$A$53:$A$58,0)),IFERROR(MATCH(IF(E28="",'Fee Rules'!$C$21,E28),'Fee Rules'!$C$51:$I$51,0),1)))</f>
        <v/>
      </c>
      <c r="AC28" s="78">
        <f>IF(AB28="","",ROUND(F28*AB28+0.00000001,2)+IF(I28&gt;0,ROUND(I28*'Fee Rules'!$C$19+'Fee Rules'!$C$20+0.00000001,2),0))</f>
        <v/>
      </c>
      <c r="AD28" s="78">
        <f>IF(OR(B28&lt;&gt;"Depop",F28=""),"",ROUND(F28*'Fee Rules'!$C$22+0.00000001,2)+ROUND(I28*'Fee Rules'!$C$23+'Fee Rules'!$C$24+0.00000001,2)+IF(D28="Boosted",ROUND(F28*'Fee Rules'!$C$25+0.00000001,2),IF(D28="Boosted own label",ROUND((F28+SUM(G28))*'Fee Rules'!$C$25+0.00000001,2),0)))</f>
        <v/>
      </c>
      <c r="AE28" s="78">
        <f>IF(OR(B28&lt;&gt;"Etsy",F28=""),"",IF('Fee Rules'!$C$27="No",0,'Fee Rules'!$C$26)+ROUND((F28+SUM(G28))*'Fee Rules'!$C$28+0.00000001,2)+ROUND(I28*'Fee Rules'!$C$29+'Fee Rules'!$C$30+0.00000001,2))</f>
        <v/>
      </c>
      <c r="AF28" s="67">
        <f>IF(D28="","",IF(OR(AND(B28="eBay",COUNTIF('Fee Rules'!$A$37:$A$46,D28)&gt;0),AND(B28="Whatnot",COUNTIF('Fee Rules'!$A$53:$A$58,D28)&gt;0),AND(B28="Depop",OR(D28="Boosted",D28="Boosted own label"))),"","Option not used for "&amp;B28))</f>
        <v/>
      </c>
    </row>
    <row r="29">
      <c r="A29" s="76" t="n">
        <v>46299</v>
      </c>
      <c r="B29" s="41" t="inlineStr">
        <is>
          <t>eBay</t>
        </is>
      </c>
      <c r="C29" s="41" t="inlineStr">
        <is>
          <t>Stoneware mug</t>
        </is>
      </c>
      <c r="D29" s="41" t="n"/>
      <c r="E29" s="41" t="n"/>
      <c r="F29" s="77" t="n">
        <v>22</v>
      </c>
      <c r="G29" s="77" t="n">
        <v>5.99</v>
      </c>
      <c r="H29" s="77" t="n">
        <v>1.8</v>
      </c>
      <c r="I29" s="78">
        <f>IF(F29="","",F29+SUM(G29)+SUM(H29))</f>
        <v/>
      </c>
      <c r="J29" s="78">
        <f>IF(F29="","",IF(B29="eBay",Y29,IF(B29="Poshmark",Z29,IF(B29="Mercari",AA29,IF(B29="Whatnot",AC29,IF(B29="Depop",AD29,IF(B29="Etsy",AE29,"n/a")))))))</f>
        <v/>
      </c>
      <c r="K29" s="77" t="n">
        <v>3.95</v>
      </c>
      <c r="L29" s="78">
        <f>IF(F29="","",IF(K29&lt;&gt;"",K29,IF(ISNUMBER(J29),J29,0)))</f>
        <v/>
      </c>
      <c r="M29" s="78">
        <f>IF(F29="","",F29+IF(B29="Poshmark",0,SUM(G29))-L29)</f>
        <v/>
      </c>
      <c r="N29" s="77" t="n">
        <v>5.49</v>
      </c>
      <c r="O29" s="77" t="n">
        <v>4</v>
      </c>
      <c r="P29" s="77" t="n"/>
      <c r="Q29" s="78">
        <f>IF(F29="","",F29+IF(B29="Poshmark",0,SUM(G29)))</f>
        <v/>
      </c>
      <c r="R29" s="78">
        <f>IF(F29="","",IF(B29="Poshmark",SUM(N29),IF(N29="",SUM(G29),N29)))</f>
        <v/>
      </c>
      <c r="S29" s="79">
        <f>IF(F29="","",M29-R29-SUM(P29)-SUM(O29))</f>
        <v/>
      </c>
      <c r="T29" s="80">
        <f>IF(OR(F29="",Q29=0),"",S29/Q29)</f>
        <v/>
      </c>
      <c r="V29" s="67">
        <f>IF(OR(B29&lt;&gt;"eBay",F29=""),"",IFERROR(MATCH(D29,'Fee Rules'!$A$37:$A$46,0),MATCH("Most",'Fee Rules'!$A$37:$A$46,0)))</f>
        <v/>
      </c>
      <c r="W29" s="78">
        <f>IF(V29="","",ROUND(IF(INDEX('Fee Rules'!$C$37:$C$46,V29)="Tiered",MIN(I29,INDEX('Fee Rules'!$E$37:$E$46,V29))*INDEX('Fee Rules'!$D$37:$D$46,V29)+MAX(0,MIN(I29,IF(INDEX('Fee Rules'!$G$37:$G$46,V29)="",INDEX('Fee Rules'!$E$37:$E$46,V29),INDEX('Fee Rules'!$G$37:$G$46,V29)))-INDEX('Fee Rules'!$E$37:$E$46,V29))*IF(INDEX('Fee Rules'!$F$37:$F$46,V29)="",0,INDEX('Fee Rules'!$F$37:$F$46,V29))+MAX(0,I29-IF(INDEX('Fee Rules'!$G$37:$G$46,V29)="",INDEX('Fee Rules'!$E$37:$E$46,V29),INDEX('Fee Rules'!$G$37:$G$46,V29)))*INDEX('Fee Rules'!$H$37:$H$46,V29),I29*IF(IF(INDEX('Fee Rules'!$C$37:$C$46,V29)="Whole amount (total &lt; limit)",I29&lt;INDEX('Fee Rules'!$E$37:$E$46,V29),I29&lt;=INDEX('Fee Rules'!$E$37:$E$46,V29)),INDEX('Fee Rules'!$D$37:$D$46,V29),INDEX('Fee Rules'!$H$37:$H$46,V29)))+0.00000001,2))</f>
        <v/>
      </c>
      <c r="X29" s="78">
        <f>IF(V29="","",IF(AND(INDEX('Fee Rules'!$I$37:$I$46,V29)&lt;&gt;"",I29&gt;=INDEX('Fee Rules'!$I$37:$I$46,V29)),0,IF(I29&lt;='Fee Rules'!$C$13,'Fee Rules'!$C$11,'Fee Rules'!$C$12)))</f>
        <v/>
      </c>
      <c r="Y29" s="78">
        <f>IF(V29="","",W29+X29)</f>
        <v/>
      </c>
      <c r="Z29" s="78">
        <f>IF(OR(B29&lt;&gt;"Poshmark",F29=""),"",IF(F29&lt;'Fee Rules'!$C$16,'Fee Rules'!$C$15,ROUND(F29*'Fee Rules'!$C$17+0.00000001,2)))</f>
        <v/>
      </c>
      <c r="AA29" s="78">
        <f>IF(OR(B29&lt;&gt;"Mercari",F29=""),"",ROUND((F29+SUM(G29))*'Fee Rules'!$C$18+0.00000001,2))</f>
        <v/>
      </c>
      <c r="AB29" s="81">
        <f>IF(OR(B29&lt;&gt;"Whatnot",F29=""),"",INDEX('Fee Rules'!$C$53:$I$58,IFERROR(MATCH(D29,'Fee Rules'!$A$53:$A$58,0),MATCH("Other",'Fee Rules'!$A$53:$A$58,0)),IFERROR(MATCH(IF(E29="",'Fee Rules'!$C$21,E29),'Fee Rules'!$C$51:$I$51,0),1)))</f>
        <v/>
      </c>
      <c r="AC29" s="78">
        <f>IF(AB29="","",ROUND(F29*AB29+0.00000001,2)+IF(I29&gt;0,ROUND(I29*'Fee Rules'!$C$19+'Fee Rules'!$C$20+0.00000001,2),0))</f>
        <v/>
      </c>
      <c r="AD29" s="78">
        <f>IF(OR(B29&lt;&gt;"Depop",F29=""),"",ROUND(F29*'Fee Rules'!$C$22+0.00000001,2)+ROUND(I29*'Fee Rules'!$C$23+'Fee Rules'!$C$24+0.00000001,2)+IF(D29="Boosted",ROUND(F29*'Fee Rules'!$C$25+0.00000001,2),IF(D29="Boosted own label",ROUND((F29+SUM(G29))*'Fee Rules'!$C$25+0.00000001,2),0)))</f>
        <v/>
      </c>
      <c r="AE29" s="78">
        <f>IF(OR(B29&lt;&gt;"Etsy",F29=""),"",IF('Fee Rules'!$C$27="No",0,'Fee Rules'!$C$26)+ROUND((F29+SUM(G29))*'Fee Rules'!$C$28+0.00000001,2)+ROUND(I29*'Fee Rules'!$C$29+'Fee Rules'!$C$30+0.00000001,2))</f>
        <v/>
      </c>
      <c r="AF29" s="67">
        <f>IF(D29="","",IF(OR(AND(B29="eBay",COUNTIF('Fee Rules'!$A$37:$A$46,D29)&gt;0),AND(B29="Whatnot",COUNTIF('Fee Rules'!$A$53:$A$58,D29)&gt;0),AND(B29="Depop",OR(D29="Boosted",D29="Boosted own label"))),"","Option not used for "&amp;B29))</f>
        <v/>
      </c>
    </row>
    <row r="30">
      <c r="A30" s="76" t="n">
        <v>46301</v>
      </c>
      <c r="B30" s="41" t="inlineStr">
        <is>
          <t>Mercari</t>
        </is>
      </c>
      <c r="C30" s="41" t="inlineStr">
        <is>
          <t>Board game (complete)</t>
        </is>
      </c>
      <c r="D30" s="41" t="n"/>
      <c r="E30" s="41" t="n"/>
      <c r="F30" s="77" t="n">
        <v>19</v>
      </c>
      <c r="G30" s="77" t="n">
        <v>6.99</v>
      </c>
      <c r="H30" s="77" t="n"/>
      <c r="I30" s="78">
        <f>IF(F30="","",F30+SUM(G30)+SUM(H30))</f>
        <v/>
      </c>
      <c r="J30" s="78">
        <f>IF(F30="","",IF(B30="eBay",Y30,IF(B30="Poshmark",Z30,IF(B30="Mercari",AA30,IF(B30="Whatnot",AC30,IF(B30="Depop",AD30,IF(B30="Etsy",AE30,"n/a")))))))</f>
        <v/>
      </c>
      <c r="K30" s="77" t="n"/>
      <c r="L30" s="78">
        <f>IF(F30="","",IF(K30&lt;&gt;"",K30,IF(ISNUMBER(J30),J30,0)))</f>
        <v/>
      </c>
      <c r="M30" s="78">
        <f>IF(F30="","",F30+IF(B30="Poshmark",0,SUM(G30))-L30)</f>
        <v/>
      </c>
      <c r="N30" s="77" t="n">
        <v>6.99</v>
      </c>
      <c r="O30" s="77" t="n">
        <v>3</v>
      </c>
      <c r="P30" s="77" t="n"/>
      <c r="Q30" s="78">
        <f>IF(F30="","",F30+IF(B30="Poshmark",0,SUM(G30)))</f>
        <v/>
      </c>
      <c r="R30" s="78">
        <f>IF(F30="","",IF(B30="Poshmark",SUM(N30),IF(N30="",SUM(G30),N30)))</f>
        <v/>
      </c>
      <c r="S30" s="79">
        <f>IF(F30="","",M30-R30-SUM(P30)-SUM(O30))</f>
        <v/>
      </c>
      <c r="T30" s="80">
        <f>IF(OR(F30="",Q30=0),"",S30/Q30)</f>
        <v/>
      </c>
      <c r="V30" s="67">
        <f>IF(OR(B30&lt;&gt;"eBay",F30=""),"",IFERROR(MATCH(D30,'Fee Rules'!$A$37:$A$46,0),MATCH("Most",'Fee Rules'!$A$37:$A$46,0)))</f>
        <v/>
      </c>
      <c r="W30" s="78">
        <f>IF(V30="","",ROUND(IF(INDEX('Fee Rules'!$C$37:$C$46,V30)="Tiered",MIN(I30,INDEX('Fee Rules'!$E$37:$E$46,V30))*INDEX('Fee Rules'!$D$37:$D$46,V30)+MAX(0,MIN(I30,IF(INDEX('Fee Rules'!$G$37:$G$46,V30)="",INDEX('Fee Rules'!$E$37:$E$46,V30),INDEX('Fee Rules'!$G$37:$G$46,V30)))-INDEX('Fee Rules'!$E$37:$E$46,V30))*IF(INDEX('Fee Rules'!$F$37:$F$46,V30)="",0,INDEX('Fee Rules'!$F$37:$F$46,V30))+MAX(0,I30-IF(INDEX('Fee Rules'!$G$37:$G$46,V30)="",INDEX('Fee Rules'!$E$37:$E$46,V30),INDEX('Fee Rules'!$G$37:$G$46,V30)))*INDEX('Fee Rules'!$H$37:$H$46,V30),I30*IF(IF(INDEX('Fee Rules'!$C$37:$C$46,V30)="Whole amount (total &lt; limit)",I30&lt;INDEX('Fee Rules'!$E$37:$E$46,V30),I30&lt;=INDEX('Fee Rules'!$E$37:$E$46,V30)),INDEX('Fee Rules'!$D$37:$D$46,V30),INDEX('Fee Rules'!$H$37:$H$46,V30)))+0.00000001,2))</f>
        <v/>
      </c>
      <c r="X30" s="78">
        <f>IF(V30="","",IF(AND(INDEX('Fee Rules'!$I$37:$I$46,V30)&lt;&gt;"",I30&gt;=INDEX('Fee Rules'!$I$37:$I$46,V30)),0,IF(I30&lt;='Fee Rules'!$C$13,'Fee Rules'!$C$11,'Fee Rules'!$C$12)))</f>
        <v/>
      </c>
      <c r="Y30" s="78">
        <f>IF(V30="","",W30+X30)</f>
        <v/>
      </c>
      <c r="Z30" s="78">
        <f>IF(OR(B30&lt;&gt;"Poshmark",F30=""),"",IF(F30&lt;'Fee Rules'!$C$16,'Fee Rules'!$C$15,ROUND(F30*'Fee Rules'!$C$17+0.00000001,2)))</f>
        <v/>
      </c>
      <c r="AA30" s="78">
        <f>IF(OR(B30&lt;&gt;"Mercari",F30=""),"",ROUND((F30+SUM(G30))*'Fee Rules'!$C$18+0.00000001,2))</f>
        <v/>
      </c>
      <c r="AB30" s="81">
        <f>IF(OR(B30&lt;&gt;"Whatnot",F30=""),"",INDEX('Fee Rules'!$C$53:$I$58,IFERROR(MATCH(D30,'Fee Rules'!$A$53:$A$58,0),MATCH("Other",'Fee Rules'!$A$53:$A$58,0)),IFERROR(MATCH(IF(E30="",'Fee Rules'!$C$21,E30),'Fee Rules'!$C$51:$I$51,0),1)))</f>
        <v/>
      </c>
      <c r="AC30" s="78">
        <f>IF(AB30="","",ROUND(F30*AB30+0.00000001,2)+IF(I30&gt;0,ROUND(I30*'Fee Rules'!$C$19+'Fee Rules'!$C$20+0.00000001,2),0))</f>
        <v/>
      </c>
      <c r="AD30" s="78">
        <f>IF(OR(B30&lt;&gt;"Depop",F30=""),"",ROUND(F30*'Fee Rules'!$C$22+0.00000001,2)+ROUND(I30*'Fee Rules'!$C$23+'Fee Rules'!$C$24+0.00000001,2)+IF(D30="Boosted",ROUND(F30*'Fee Rules'!$C$25+0.00000001,2),IF(D30="Boosted own label",ROUND((F30+SUM(G30))*'Fee Rules'!$C$25+0.00000001,2),0)))</f>
        <v/>
      </c>
      <c r="AE30" s="78">
        <f>IF(OR(B30&lt;&gt;"Etsy",F30=""),"",IF('Fee Rules'!$C$27="No",0,'Fee Rules'!$C$26)+ROUND((F30+SUM(G30))*'Fee Rules'!$C$28+0.00000001,2)+ROUND(I30*'Fee Rules'!$C$29+'Fee Rules'!$C$30+0.00000001,2))</f>
        <v/>
      </c>
      <c r="AF30" s="67">
        <f>IF(D30="","",IF(OR(AND(B30="eBay",COUNTIF('Fee Rules'!$A$37:$A$46,D30)&gt;0),AND(B30="Whatnot",COUNTIF('Fee Rules'!$A$53:$A$58,D30)&gt;0),AND(B30="Depop",OR(D30="Boosted",D30="Boosted own label"))),"","Option not used for "&amp;B30))</f>
        <v/>
      </c>
    </row>
  </sheetData>
  <mergeCells count="2">
    <mergeCell ref="A1:T1"/>
    <mergeCell ref="A2:T2"/>
  </mergeCells>
  <conditionalFormatting sqref="D6:D30">
    <cfRule type="expression" priority="1" dxfId="4">
      <formula>$AF6&lt;&gt;""</formula>
    </cfRule>
  </conditionalFormatting>
  <conditionalFormatting sqref="J6:J30">
    <cfRule type="expression" priority="2" dxfId="4">
      <formula>$J6="n/a"</formula>
    </cfRule>
  </conditionalFormatting>
  <dataValidations count="3">
    <dataValidation sqref="B6:B30" showDropDown="0" showInputMessage="0" showErrorMessage="1" allowBlank="1" errorTitle="Invalid entry" error="Pick a value from the list" type="list">
      <formula1>"eBay,Poshmark,Mercari,Whatnot,Depop,Etsy,Facebook Marketplace,Other"</formula1>
    </dataValidation>
    <dataValidation sqref="D6:D30" showDropDown="0" showInputMessage="1" showErrorMessage="1" allowBlank="1" errorTitle="Invalid entry" error="Pick a value from the list" prompt="eBay: category (blank = Most). Whatnot: category (blank = Other). Depop: Boosted / Boosted own label. Others: leave blank." type="list">
      <formula1>"Most,Books/Media,Coins,Bullion,Trading cards,Handbags,Jewelry,Watches,Guitars,Sneakers,Sports,TCG,Fashion,Collectibles,Other,Boosted,Boosted own label"</formula1>
    </dataValidation>
    <dataValidation sqref="E6:E30" showDropDown="0" showInputMessage="1" showErrorMessage="1" allowBlank="1" errorTitle="Invalid entry" error="Pick a value from the list" prompt="Whatnot only. Blank = the default tier on the Fee Rules tab." type="list">
      <formula1>"Standard,Tier 1,Tier 2,Tier 3,Tier 4,Tier 5,Tier 6"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E7A57"/>
    <outlinePr summaryBelow="1" summaryRight="1"/>
    <pageSetUpPr/>
  </sheetPr>
  <dimension ref="A1:G15"/>
  <sheetViews>
    <sheetView showGridLines="0" tabSelected="0"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13" customWidth="1" min="3" max="3"/>
    <col width="13" customWidth="1" min="4" max="4"/>
    <col width="13" customWidth="1" min="5" max="5"/>
    <col width="15" customWidth="1" min="6" max="6"/>
    <col width="10" customWidth="1" min="7" max="7"/>
  </cols>
  <sheetData>
    <row r="1" ht="34" customHeight="1">
      <c r="A1" s="60" t="inlineStr">
        <is>
          <t>By platform: where you keep the most</t>
        </is>
      </c>
    </row>
    <row r="2" ht="22" customHeight="1">
      <c r="A2" s="82" t="inlineStr">
        <is>
          <t>Totals from the Quick Check tab. Fee estimates only, not financial or tax advice.</t>
        </is>
      </c>
    </row>
    <row r="4" ht="32" customHeight="1">
      <c r="A4" s="74" t="inlineStr">
        <is>
          <t>Platform</t>
        </is>
      </c>
      <c r="B4" s="74" t="inlineStr">
        <is>
          <t>Sales</t>
        </is>
      </c>
      <c r="C4" s="74" t="inlineStr">
        <is>
          <t>Revenue
(excl. tax)</t>
        </is>
      </c>
      <c r="D4" s="74" t="inlineStr">
        <is>
          <t>Fees used</t>
        </is>
      </c>
      <c r="E4" s="74" t="inlineStr">
        <is>
          <t>You keep</t>
        </is>
      </c>
      <c r="F4" s="74" t="inlineStr">
        <is>
          <t>Avg kept
per sale</t>
        </is>
      </c>
      <c r="G4" s="74" t="inlineStr">
        <is>
          <t>Margin</t>
        </is>
      </c>
    </row>
    <row r="5">
      <c r="A5" s="46" t="inlineStr">
        <is>
          <t>eBay</t>
        </is>
      </c>
      <c r="B5" s="67">
        <f>COUNTIFS('Quick Check'!$B$6:$B$30,A5,'Quick Check'!$F$6:$F$30,"&lt;&gt;")</f>
        <v/>
      </c>
      <c r="C5" s="78">
        <f>SUMIFS('Quick Check'!$Q$6:$Q$30,'Quick Check'!$B$6:$B$30,A5)</f>
        <v/>
      </c>
      <c r="D5" s="78">
        <f>SUMIFS('Quick Check'!$L$6:$L$30,'Quick Check'!$B$6:$B$30,A5)</f>
        <v/>
      </c>
      <c r="E5" s="79">
        <f>SUMIFS('Quick Check'!$S$6:$S$30,'Quick Check'!$B$6:$B$30,A5)</f>
        <v/>
      </c>
      <c r="F5" s="78">
        <f>IF(B5=0,"",E5/B5)</f>
        <v/>
      </c>
      <c r="G5" s="80">
        <f>IF(C5=0,"",E5/C5)</f>
        <v/>
      </c>
    </row>
    <row r="6">
      <c r="A6" s="46" t="inlineStr">
        <is>
          <t>Poshmark</t>
        </is>
      </c>
      <c r="B6" s="67">
        <f>COUNTIFS('Quick Check'!$B$6:$B$30,A6,'Quick Check'!$F$6:$F$30,"&lt;&gt;")</f>
        <v/>
      </c>
      <c r="C6" s="78">
        <f>SUMIFS('Quick Check'!$Q$6:$Q$30,'Quick Check'!$B$6:$B$30,A6)</f>
        <v/>
      </c>
      <c r="D6" s="78">
        <f>SUMIFS('Quick Check'!$L$6:$L$30,'Quick Check'!$B$6:$B$30,A6)</f>
        <v/>
      </c>
      <c r="E6" s="79">
        <f>SUMIFS('Quick Check'!$S$6:$S$30,'Quick Check'!$B$6:$B$30,A6)</f>
        <v/>
      </c>
      <c r="F6" s="78">
        <f>IF(B6=0,"",E6/B6)</f>
        <v/>
      </c>
      <c r="G6" s="80">
        <f>IF(C6=0,"",E6/C6)</f>
        <v/>
      </c>
    </row>
    <row r="7">
      <c r="A7" s="46" t="inlineStr">
        <is>
          <t>Mercari</t>
        </is>
      </c>
      <c r="B7" s="67">
        <f>COUNTIFS('Quick Check'!$B$6:$B$30,A7,'Quick Check'!$F$6:$F$30,"&lt;&gt;")</f>
        <v/>
      </c>
      <c r="C7" s="78">
        <f>SUMIFS('Quick Check'!$Q$6:$Q$30,'Quick Check'!$B$6:$B$30,A7)</f>
        <v/>
      </c>
      <c r="D7" s="78">
        <f>SUMIFS('Quick Check'!$L$6:$L$30,'Quick Check'!$B$6:$B$30,A7)</f>
        <v/>
      </c>
      <c r="E7" s="79">
        <f>SUMIFS('Quick Check'!$S$6:$S$30,'Quick Check'!$B$6:$B$30,A7)</f>
        <v/>
      </c>
      <c r="F7" s="78">
        <f>IF(B7=0,"",E7/B7)</f>
        <v/>
      </c>
      <c r="G7" s="80">
        <f>IF(C7=0,"",E7/C7)</f>
        <v/>
      </c>
    </row>
    <row r="8">
      <c r="A8" s="46" t="inlineStr">
        <is>
          <t>Whatnot</t>
        </is>
      </c>
      <c r="B8" s="67">
        <f>COUNTIFS('Quick Check'!$B$6:$B$30,A8,'Quick Check'!$F$6:$F$30,"&lt;&gt;")</f>
        <v/>
      </c>
      <c r="C8" s="78">
        <f>SUMIFS('Quick Check'!$Q$6:$Q$30,'Quick Check'!$B$6:$B$30,A8)</f>
        <v/>
      </c>
      <c r="D8" s="78">
        <f>SUMIFS('Quick Check'!$L$6:$L$30,'Quick Check'!$B$6:$B$30,A8)</f>
        <v/>
      </c>
      <c r="E8" s="79">
        <f>SUMIFS('Quick Check'!$S$6:$S$30,'Quick Check'!$B$6:$B$30,A8)</f>
        <v/>
      </c>
      <c r="F8" s="78">
        <f>IF(B8=0,"",E8/B8)</f>
        <v/>
      </c>
      <c r="G8" s="80">
        <f>IF(C8=0,"",E8/C8)</f>
        <v/>
      </c>
    </row>
    <row r="9">
      <c r="A9" s="46" t="inlineStr">
        <is>
          <t>Depop</t>
        </is>
      </c>
      <c r="B9" s="67">
        <f>COUNTIFS('Quick Check'!$B$6:$B$30,A9,'Quick Check'!$F$6:$F$30,"&lt;&gt;")</f>
        <v/>
      </c>
      <c r="C9" s="78">
        <f>SUMIFS('Quick Check'!$Q$6:$Q$30,'Quick Check'!$B$6:$B$30,A9)</f>
        <v/>
      </c>
      <c r="D9" s="78">
        <f>SUMIFS('Quick Check'!$L$6:$L$30,'Quick Check'!$B$6:$B$30,A9)</f>
        <v/>
      </c>
      <c r="E9" s="79">
        <f>SUMIFS('Quick Check'!$S$6:$S$30,'Quick Check'!$B$6:$B$30,A9)</f>
        <v/>
      </c>
      <c r="F9" s="78">
        <f>IF(B9=0,"",E9/B9)</f>
        <v/>
      </c>
      <c r="G9" s="80">
        <f>IF(C9=0,"",E9/C9)</f>
        <v/>
      </c>
    </row>
    <row r="10">
      <c r="A10" s="46" t="inlineStr">
        <is>
          <t>Etsy</t>
        </is>
      </c>
      <c r="B10" s="67">
        <f>COUNTIFS('Quick Check'!$B$6:$B$30,A10,'Quick Check'!$F$6:$F$30,"&lt;&gt;")</f>
        <v/>
      </c>
      <c r="C10" s="78">
        <f>SUMIFS('Quick Check'!$Q$6:$Q$30,'Quick Check'!$B$6:$B$30,A10)</f>
        <v/>
      </c>
      <c r="D10" s="78">
        <f>SUMIFS('Quick Check'!$L$6:$L$30,'Quick Check'!$B$6:$B$30,A10)</f>
        <v/>
      </c>
      <c r="E10" s="79">
        <f>SUMIFS('Quick Check'!$S$6:$S$30,'Quick Check'!$B$6:$B$30,A10)</f>
        <v/>
      </c>
      <c r="F10" s="78">
        <f>IF(B10=0,"",E10/B10)</f>
        <v/>
      </c>
      <c r="G10" s="80">
        <f>IF(C10=0,"",E10/C10)</f>
        <v/>
      </c>
    </row>
    <row r="11">
      <c r="A11" s="46" t="inlineStr">
        <is>
          <t>Facebook Marketplace</t>
        </is>
      </c>
      <c r="B11" s="67">
        <f>COUNTIFS('Quick Check'!$B$6:$B$30,A11,'Quick Check'!$F$6:$F$30,"&lt;&gt;")</f>
        <v/>
      </c>
      <c r="C11" s="78">
        <f>SUMIFS('Quick Check'!$Q$6:$Q$30,'Quick Check'!$B$6:$B$30,A11)</f>
        <v/>
      </c>
      <c r="D11" s="78">
        <f>SUMIFS('Quick Check'!$L$6:$L$30,'Quick Check'!$B$6:$B$30,A11)</f>
        <v/>
      </c>
      <c r="E11" s="79">
        <f>SUMIFS('Quick Check'!$S$6:$S$30,'Quick Check'!$B$6:$B$30,A11)</f>
        <v/>
      </c>
      <c r="F11" s="78">
        <f>IF(B11=0,"",E11/B11)</f>
        <v/>
      </c>
      <c r="G11" s="80">
        <f>IF(C11=0,"",E11/C11)</f>
        <v/>
      </c>
    </row>
    <row r="12">
      <c r="A12" s="46" t="inlineStr">
        <is>
          <t>Other</t>
        </is>
      </c>
      <c r="B12" s="67">
        <f>COUNTIFS('Quick Check'!$B$6:$B$30,A12,'Quick Check'!$F$6:$F$30,"&lt;&gt;")</f>
        <v/>
      </c>
      <c r="C12" s="78">
        <f>SUMIFS('Quick Check'!$Q$6:$Q$30,'Quick Check'!$B$6:$B$30,A12)</f>
        <v/>
      </c>
      <c r="D12" s="78">
        <f>SUMIFS('Quick Check'!$L$6:$L$30,'Quick Check'!$B$6:$B$30,A12)</f>
        <v/>
      </c>
      <c r="E12" s="79">
        <f>SUMIFS('Quick Check'!$S$6:$S$30,'Quick Check'!$B$6:$B$30,A12)</f>
        <v/>
      </c>
      <c r="F12" s="78">
        <f>IF(B12=0,"",E12/B12)</f>
        <v/>
      </c>
      <c r="G12" s="80">
        <f>IF(C12=0,"",E12/C12)</f>
        <v/>
      </c>
    </row>
    <row r="13">
      <c r="A13" s="46" t="inlineStr">
        <is>
          <t>All platforms</t>
        </is>
      </c>
      <c r="B13" s="83">
        <f>SUM(B5:B12)</f>
        <v/>
      </c>
      <c r="C13" s="84">
        <f>SUM(C5:C12)</f>
        <v/>
      </c>
      <c r="D13" s="84">
        <f>SUM(D5:D12)</f>
        <v/>
      </c>
      <c r="E13" s="85">
        <f>SUM(E5:E12)</f>
        <v/>
      </c>
      <c r="F13" s="84">
        <f>IF(B13=0,"",E13/B13)</f>
        <v/>
      </c>
      <c r="G13" s="86">
        <f>IF(C13=0,"",E13/C13)</f>
        <v/>
      </c>
    </row>
    <row r="15">
      <c r="A15" s="16">
        <f>IF(COUNTIFS('Quick Check'!$B$6:$B$30,"",'Quick Check'!$F$6:$F$30,"&lt;&gt;")&gt;0,"Check: "&amp;COUNTIFS('Quick Check'!$B$6:$B$30,"",'Quick Check'!$F$6:$F$30,"&lt;&gt;")&amp;" sale(s) on Quick Check have no platform picked.","Data check: every sale has a platform.")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655A6B"/>
    <outlinePr summaryBelow="1" summaryRight="1"/>
    <pageSetUpPr fitToPage="1"/>
  </sheetPr>
  <dimension ref="A1:J98"/>
  <sheetViews>
    <sheetView showGridLines="0" tabSelected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50" customWidth="1" min="2" max="2"/>
    <col width="2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44" customWidth="1" min="10" max="10"/>
  </cols>
  <sheetData>
    <row r="1" ht="34" customHeight="1">
      <c r="A1" s="1" t="inlineStr">
        <is>
          <t>Fee rules (US sellers)</t>
        </is>
      </c>
    </row>
    <row r="2" ht="30" customHeight="1">
      <c r="A2" s="3" t="inlineStr">
        <is>
          <t>Copied from soldsplit.com's fee engine. White cells are editable: update them when a platform changes its fees.   |   Fee estimates use the Fee Rules tab, copied from soldsplit.com (last checked Oct 21, 2026). Platforms change fees: check soldsplit.com and your platform statement. Estimates only, not financial or tax advice.</t>
        </is>
      </c>
    </row>
    <row r="4">
      <c r="A4" s="7" t="inlineStr">
        <is>
          <t>Fees last checked</t>
        </is>
      </c>
      <c r="C4" s="87" t="n">
        <v>46316</v>
      </c>
      <c r="D4" s="9" t="inlineStr">
        <is>
          <t>Date these rules were copied from soldsplit.com. Change it when you update a rule.</t>
        </is>
      </c>
    </row>
    <row r="5">
      <c r="A5" s="15">
        <f>HYPERLINK("https://soldsplit.com/","soldsplit.com: compare fees")</f>
        <v/>
      </c>
      <c r="C5" s="15">
        <f>HYPERLINK("https://soldsplit.com/fee-changes/","Fee change log")</f>
        <v/>
      </c>
    </row>
    <row r="6" ht="44" customHeight="1">
      <c r="A6" s="5" t="inlineStr">
        <is>
          <t>Fees change. If soldsplit.com or a platform's own fee page shows a different number, update the white cell here and every estimate recalculates. Your platform statement is the final word; type actual fees in the Quick Check tab's 'Fee override' column. Not financial or tax advice.</t>
        </is>
      </c>
    </row>
    <row r="8">
      <c r="A8" s="6" t="inlineStr">
        <is>
          <t>1. Flat rules and settings</t>
        </is>
      </c>
    </row>
    <row r="10" ht="42" customHeight="1">
      <c r="A10" s="18" t="inlineStr">
        <is>
          <t>Platform</t>
        </is>
      </c>
      <c r="B10" s="18" t="inlineStr">
        <is>
          <t>Rule</t>
        </is>
      </c>
      <c r="C10" s="18" t="inlineStr">
        <is>
          <t>Value</t>
        </is>
      </c>
      <c r="D10" s="18" t="inlineStr">
        <is>
          <t>Effective / last change</t>
        </is>
      </c>
      <c r="E10" s="30" t="n"/>
      <c r="F10" s="30" t="n"/>
      <c r="G10" s="30" t="n"/>
      <c r="H10" s="11" t="n"/>
      <c r="I10" s="18" t="inlineStr">
        <is>
          <t>Charged on</t>
        </is>
      </c>
      <c r="J10" s="18" t="inlineStr">
        <is>
          <t>How it applies (soldsplit.com)</t>
        </is>
      </c>
    </row>
    <row r="11" ht="16" customHeight="1">
      <c r="A11" s="31" t="inlineStr">
        <is>
          <t>eBay</t>
        </is>
      </c>
      <c r="B11" s="32" t="inlineStr">
        <is>
          <t>Per-order fee, order total $10.00 or less</t>
        </is>
      </c>
      <c r="C11" s="88" t="n">
        <v>0.3</v>
      </c>
      <c r="D11" s="34" t="inlineStr"/>
      <c r="E11" s="30" t="n"/>
      <c r="F11" s="30" t="n"/>
      <c r="G11" s="30" t="n"/>
      <c r="H11" s="11" t="n"/>
      <c r="I11" s="36" t="inlineStr">
        <is>
          <t>Per order</t>
        </is>
      </c>
      <c r="J11" s="11" t="n"/>
    </row>
    <row r="12" ht="16" customHeight="1">
      <c r="A12" s="31" t="inlineStr">
        <is>
          <t>eBay</t>
        </is>
      </c>
      <c r="B12" s="32" t="inlineStr">
        <is>
          <t>Per-order fee, order total over $10.00</t>
        </is>
      </c>
      <c r="C12" s="88" t="n">
        <v>0.4</v>
      </c>
      <c r="D12" s="34" t="inlineStr"/>
      <c r="E12" s="30" t="n"/>
      <c r="F12" s="30" t="n"/>
      <c r="G12" s="30" t="n"/>
      <c r="H12" s="11" t="n"/>
      <c r="I12" s="36" t="inlineStr">
        <is>
          <t>Per order</t>
        </is>
      </c>
      <c r="J12" s="11" t="n"/>
    </row>
    <row r="13" ht="16" customHeight="1">
      <c r="A13" s="31" t="inlineStr">
        <is>
          <t>eBay</t>
        </is>
      </c>
      <c r="B13" s="32" t="inlineStr">
        <is>
          <t>Per-order fee breakpoint (order total)</t>
        </is>
      </c>
      <c r="C13" s="88" t="n">
        <v>10</v>
      </c>
      <c r="D13" s="34" t="inlineStr"/>
      <c r="E13" s="30" t="n"/>
      <c r="F13" s="30" t="n"/>
      <c r="G13" s="30" t="n"/>
      <c r="H13" s="11" t="n"/>
      <c r="I13" s="36" t="inlineStr">
        <is>
          <t>Item + shipping + tax</t>
        </is>
      </c>
      <c r="J13" s="11" t="n"/>
    </row>
    <row r="14" ht="28" customHeight="1">
      <c r="A14" s="31" t="inlineStr">
        <is>
          <t>eBay</t>
        </is>
      </c>
      <c r="B14" s="32" t="inlineStr">
        <is>
          <t>Insertion fee after 250 free listings/month</t>
        </is>
      </c>
      <c r="C14" s="88" t="n">
        <v>0.35</v>
      </c>
      <c r="D14" s="34" t="inlineStr"/>
      <c r="E14" s="30" t="n"/>
      <c r="F14" s="30" t="n"/>
      <c r="G14" s="30" t="n"/>
      <c r="H14" s="11" t="n"/>
      <c r="I14" s="36" t="inlineStr">
        <is>
          <t>Not added automatically: put it in 'Other costs' on the sale if you paid it.</t>
        </is>
      </c>
      <c r="J14" s="11" t="n"/>
    </row>
    <row r="15" ht="16" customHeight="1">
      <c r="A15" s="31" t="inlineStr">
        <is>
          <t>Poshmark</t>
        </is>
      </c>
      <c r="B15" s="32" t="inlineStr">
        <is>
          <t>Flat fee on sales under the breakpoint</t>
        </is>
      </c>
      <c r="C15" s="88" t="n">
        <v>2.95</v>
      </c>
      <c r="D15" s="34" t="inlineStr">
        <is>
          <t>Oct 24, 2024 (return to original fees)</t>
        </is>
      </c>
      <c r="E15" s="30" t="n"/>
      <c r="F15" s="30" t="n"/>
      <c r="G15" s="30" t="n"/>
      <c r="H15" s="11" t="n"/>
      <c r="I15" s="36" t="inlineStr">
        <is>
          <t>Sale price</t>
        </is>
      </c>
      <c r="J15" s="11" t="n"/>
    </row>
    <row r="16" ht="28" customHeight="1">
      <c r="A16" s="31" t="inlineStr">
        <is>
          <t>Poshmark</t>
        </is>
      </c>
      <c r="B16" s="32" t="inlineStr">
        <is>
          <t>Flat-fee breakpoint (sale price)</t>
        </is>
      </c>
      <c r="C16" s="88" t="n">
        <v>15</v>
      </c>
      <c r="D16" s="34" t="inlineStr"/>
      <c r="E16" s="30" t="n"/>
      <c r="F16" s="30" t="n"/>
      <c r="G16" s="30" t="n"/>
      <c r="H16" s="11" t="n"/>
      <c r="I16" s="36" t="inlineStr">
        <is>
          <t>Under $15 = flat fee; $15 or more = %. (Poshmark's guide says '$15 or more'; its Oct 2024 blog says 'over $15'. Follows the guide; $0.05 difference at exactly $15.)</t>
        </is>
      </c>
      <c r="J16" s="11" t="n"/>
    </row>
    <row r="17" ht="16" customHeight="1">
      <c r="A17" s="31" t="inlineStr">
        <is>
          <t>Poshmark</t>
        </is>
      </c>
      <c r="B17" s="32" t="inlineStr">
        <is>
          <t>Commission</t>
        </is>
      </c>
      <c r="C17" s="37" t="n">
        <v>0.2</v>
      </c>
      <c r="D17" s="34" t="inlineStr"/>
      <c r="E17" s="30" t="n"/>
      <c r="F17" s="30" t="n"/>
      <c r="G17" s="30" t="n"/>
      <c r="H17" s="11" t="n"/>
      <c r="I17" s="36" t="inlineStr">
        <is>
          <t>Sale price only. Buyer pays Poshmark for the label.</t>
        </is>
      </c>
      <c r="J17" s="11" t="n"/>
    </row>
    <row r="18" ht="28" customHeight="1">
      <c r="A18" s="31" t="inlineStr">
        <is>
          <t>Mercari</t>
        </is>
      </c>
      <c r="B18" s="32" t="inlineStr">
        <is>
          <t>Selling fee</t>
        </is>
      </c>
      <c r="C18" s="37" t="n">
        <v>0.1</v>
      </c>
      <c r="D18" s="34" t="inlineStr">
        <is>
          <t>Jan 6, 2025</t>
        </is>
      </c>
      <c r="E18" s="30" t="n"/>
      <c r="F18" s="30" t="n"/>
      <c r="G18" s="30" t="n"/>
      <c r="H18" s="11" t="n"/>
      <c r="I18" s="36" t="inlineStr">
        <is>
          <t>Item price + buyer-paid shipping (not sales tax). No seller processing fee.</t>
        </is>
      </c>
      <c r="J18" s="11" t="n"/>
    </row>
    <row r="19" ht="16" customHeight="1">
      <c r="A19" s="31" t="inlineStr">
        <is>
          <t>Whatnot</t>
        </is>
      </c>
      <c r="B19" s="32" t="inlineStr">
        <is>
          <t>Payment processing %</t>
        </is>
      </c>
      <c r="C19" s="37" t="n">
        <v>0.029</v>
      </c>
      <c r="D19" s="34" t="inlineStr">
        <is>
          <t>Sep 21, 2026 (tiered commission)</t>
        </is>
      </c>
      <c r="E19" s="30" t="n"/>
      <c r="F19" s="30" t="n"/>
      <c r="G19" s="30" t="n"/>
      <c r="H19" s="11" t="n"/>
      <c r="I19" s="36" t="inlineStr">
        <is>
          <t>Item + shipping + tax (full order)</t>
        </is>
      </c>
      <c r="J19" s="11" t="n"/>
    </row>
    <row r="20" ht="16" customHeight="1">
      <c r="A20" s="31" t="inlineStr">
        <is>
          <t>Whatnot</t>
        </is>
      </c>
      <c r="B20" s="32" t="inlineStr">
        <is>
          <t>Payment processing, fixed per order</t>
        </is>
      </c>
      <c r="C20" s="88" t="n">
        <v>0.3</v>
      </c>
      <c r="D20" s="34" t="inlineStr"/>
      <c r="E20" s="30" t="n"/>
      <c r="F20" s="30" t="n"/>
      <c r="G20" s="30" t="n"/>
      <c r="H20" s="11" t="n"/>
      <c r="I20" s="36" t="inlineStr">
        <is>
          <t>Per order</t>
        </is>
      </c>
      <c r="J20" s="11" t="n"/>
    </row>
    <row r="21" ht="28" customHeight="1">
      <c r="A21" s="31" t="inlineStr">
        <is>
          <t>Whatnot</t>
        </is>
      </c>
      <c r="B21" s="32" t="inlineStr">
        <is>
          <t>Your default sales tier (last 4 weeks)</t>
        </is>
      </c>
      <c r="C21" s="38" t="inlineStr">
        <is>
          <t>Standard</t>
        </is>
      </c>
      <c r="D21" s="34" t="inlineStr"/>
      <c r="E21" s="30" t="n"/>
      <c r="F21" s="30" t="n"/>
      <c r="G21" s="30" t="n"/>
      <c r="H21" s="11" t="n"/>
      <c r="I21" s="36" t="inlineStr">
        <is>
          <t>Pick your tier; commission rates are in table 3. Override per sale in the Quick Check tab.</t>
        </is>
      </c>
      <c r="J21" s="11" t="n"/>
    </row>
    <row r="22" ht="16" customHeight="1">
      <c r="A22" s="31" t="inlineStr">
        <is>
          <t>Depop</t>
        </is>
      </c>
      <c r="B22" s="32" t="inlineStr">
        <is>
          <t>Selling fee (US)</t>
        </is>
      </c>
      <c r="C22" s="37" t="n">
        <v>0</v>
      </c>
      <c r="D22" s="34" t="inlineStr"/>
      <c r="E22" s="30" t="n"/>
      <c r="F22" s="30" t="n"/>
      <c r="G22" s="30" t="n"/>
      <c r="H22" s="11" t="n"/>
      <c r="I22" s="36" t="inlineStr">
        <is>
          <t>US sellers pay no Depop selling fee.</t>
        </is>
      </c>
      <c r="J22" s="11" t="n"/>
    </row>
    <row r="23" ht="16" customHeight="1">
      <c r="A23" s="31" t="inlineStr">
        <is>
          <t>Depop</t>
        </is>
      </c>
      <c r="B23" s="32" t="inlineStr">
        <is>
          <t>Payment processing %</t>
        </is>
      </c>
      <c r="C23" s="37" t="n">
        <v>0.033</v>
      </c>
      <c r="D23" s="34" t="inlineStr"/>
      <c r="E23" s="30" t="n"/>
      <c r="F23" s="30" t="n"/>
      <c r="G23" s="30" t="n"/>
      <c r="H23" s="11" t="n"/>
      <c r="I23" s="36" t="inlineStr">
        <is>
          <t>Item + shipping + tax</t>
        </is>
      </c>
      <c r="J23" s="11" t="n"/>
    </row>
    <row r="24" ht="16" customHeight="1">
      <c r="A24" s="31" t="inlineStr">
        <is>
          <t>Depop</t>
        </is>
      </c>
      <c r="B24" s="32" t="inlineStr">
        <is>
          <t>Payment processing, fixed per order</t>
        </is>
      </c>
      <c r="C24" s="88" t="n">
        <v>0.45</v>
      </c>
      <c r="D24" s="34" t="inlineStr"/>
      <c r="E24" s="30" t="n"/>
      <c r="F24" s="30" t="n"/>
      <c r="G24" s="30" t="n"/>
      <c r="H24" s="11" t="n"/>
      <c r="I24" s="36" t="inlineStr">
        <is>
          <t>Per order</t>
        </is>
      </c>
      <c r="J24" s="11" t="n"/>
    </row>
    <row r="25" ht="28" customHeight="1">
      <c r="A25" s="31" t="inlineStr">
        <is>
          <t>Depop</t>
        </is>
      </c>
      <c r="B25" s="32" t="inlineStr">
        <is>
          <t>Boosting fee (boosted listings)</t>
        </is>
      </c>
      <c r="C25" s="37" t="n">
        <v>0.12</v>
      </c>
      <c r="D25" s="34" t="inlineStr">
        <is>
          <t>Mar 23, 2026 (new boosted listings)</t>
        </is>
      </c>
      <c r="E25" s="30" t="n"/>
      <c r="F25" s="30" t="n"/>
      <c r="G25" s="30" t="n"/>
      <c r="H25" s="11" t="n"/>
      <c r="I25" s="36" t="inlineStr">
        <is>
          <t>Item price; plus shipping if you used your own label (pick 'Boosted own label').</t>
        </is>
      </c>
      <c r="J25" s="11" t="n"/>
    </row>
    <row r="26" ht="28" customHeight="1">
      <c r="A26" s="31" t="inlineStr">
        <is>
          <t>Etsy</t>
        </is>
      </c>
      <c r="B26" s="32" t="inlineStr">
        <is>
          <t>Listing fee per item</t>
        </is>
      </c>
      <c r="C26" s="88" t="n">
        <v>0.2</v>
      </c>
      <c r="D26" s="34" t="inlineStr"/>
      <c r="E26" s="30" t="n"/>
      <c r="F26" s="30" t="n"/>
      <c r="G26" s="30" t="n"/>
      <c r="H26" s="11" t="n"/>
      <c r="I26" s="36" t="inlineStr">
        <is>
          <t>Per listing (renews every 4 months or when a multi-quantity item sells again)</t>
        </is>
      </c>
      <c r="J26" s="11" t="n"/>
    </row>
    <row r="27" ht="16" customHeight="1">
      <c r="A27" s="31" t="inlineStr">
        <is>
          <t>Etsy</t>
        </is>
      </c>
      <c r="B27" s="32" t="inlineStr">
        <is>
          <t>Include the listing fee in estimates?</t>
        </is>
      </c>
      <c r="C27" s="38" t="inlineStr">
        <is>
          <t>Yes</t>
        </is>
      </c>
      <c r="D27" s="34" t="inlineStr"/>
      <c r="E27" s="30" t="n"/>
      <c r="F27" s="30" t="n"/>
      <c r="G27" s="30" t="n"/>
      <c r="H27" s="11" t="n"/>
      <c r="I27" s="36" t="inlineStr">
        <is>
          <t>Yes/No</t>
        </is>
      </c>
      <c r="J27" s="11" t="n"/>
    </row>
    <row r="28" ht="16" customHeight="1">
      <c r="A28" s="31" t="inlineStr">
        <is>
          <t>Etsy</t>
        </is>
      </c>
      <c r="B28" s="32" t="inlineStr">
        <is>
          <t>Transaction fee</t>
        </is>
      </c>
      <c r="C28" s="37" t="n">
        <v>0.065</v>
      </c>
      <c r="D28" s="34" t="inlineStr"/>
      <c r="E28" s="30" t="n"/>
      <c r="F28" s="30" t="n"/>
      <c r="G28" s="30" t="n"/>
      <c r="H28" s="11" t="n"/>
      <c r="I28" s="36" t="inlineStr">
        <is>
          <t>Item + shipping (+ gift wrap); not sales tax (US sellers)</t>
        </is>
      </c>
      <c r="J28" s="11" t="n"/>
    </row>
    <row r="29" ht="16" customHeight="1">
      <c r="A29" s="31" t="inlineStr">
        <is>
          <t>Etsy</t>
        </is>
      </c>
      <c r="B29" s="32" t="inlineStr">
        <is>
          <t>Payment processing % (US bank account)</t>
        </is>
      </c>
      <c r="C29" s="37" t="n">
        <v>0.03</v>
      </c>
      <c r="D29" s="34" t="inlineStr"/>
      <c r="E29" s="30" t="n"/>
      <c r="F29" s="30" t="n"/>
      <c r="G29" s="30" t="n"/>
      <c r="H29" s="11" t="n"/>
      <c r="I29" s="36" t="inlineStr">
        <is>
          <t>Item + shipping + sales tax</t>
        </is>
      </c>
      <c r="J29" s="11" t="n"/>
    </row>
    <row r="30" ht="16" customHeight="1">
      <c r="A30" s="31" t="inlineStr">
        <is>
          <t>Etsy</t>
        </is>
      </c>
      <c r="B30" s="32" t="inlineStr">
        <is>
          <t>Payment processing, fixed per order</t>
        </is>
      </c>
      <c r="C30" s="88" t="n">
        <v>0.25</v>
      </c>
      <c r="D30" s="34" t="inlineStr"/>
      <c r="E30" s="30" t="n"/>
      <c r="F30" s="30" t="n"/>
      <c r="G30" s="30" t="n"/>
      <c r="H30" s="11" t="n"/>
      <c r="I30" s="36" t="inlineStr">
        <is>
          <t>Per order</t>
        </is>
      </c>
      <c r="J30" s="11" t="n"/>
    </row>
    <row r="31" ht="28" customHeight="1">
      <c r="A31" s="31" t="inlineStr">
        <is>
          <t>Facebook Marketplace</t>
        </is>
      </c>
      <c r="B31" s="32" t="inlineStr">
        <is>
          <t>Not covered by soldsplit.com</t>
        </is>
      </c>
      <c r="C31" s="39" t="inlineStr">
        <is>
          <t>n/a</t>
        </is>
      </c>
      <c r="D31" s="34" t="inlineStr"/>
      <c r="E31" s="30" t="n"/>
      <c r="F31" s="30" t="n"/>
      <c r="G31" s="30" t="n"/>
      <c r="H31" s="11" t="n"/>
      <c r="I31" s="36" t="inlineStr">
        <is>
          <t>No estimate. Type the fee you were charged in 'Fee override' (0 for local cash sales).</t>
        </is>
      </c>
      <c r="J31" s="11" t="n"/>
    </row>
    <row r="32" ht="28" customHeight="1">
      <c r="A32" s="31" t="inlineStr">
        <is>
          <t>Other</t>
        </is>
      </c>
      <c r="B32" s="32" t="inlineStr">
        <is>
          <t>Not covered by soldsplit.com</t>
        </is>
      </c>
      <c r="C32" s="39" t="inlineStr">
        <is>
          <t>n/a</t>
        </is>
      </c>
      <c r="D32" s="34" t="inlineStr"/>
      <c r="E32" s="30" t="n"/>
      <c r="F32" s="30" t="n"/>
      <c r="G32" s="30" t="n"/>
      <c r="H32" s="11" t="n"/>
      <c r="I32" s="36" t="inlineStr">
        <is>
          <t>No estimate. Type the fee you were charged in 'Fee override'.</t>
        </is>
      </c>
      <c r="J32" s="11" t="n"/>
    </row>
    <row r="34">
      <c r="A34" s="6" t="inlineStr">
        <is>
          <t>2. eBay final value fee by category</t>
        </is>
      </c>
    </row>
    <row r="35" ht="30" customHeight="1">
      <c r="A35" s="9" t="inlineStr">
        <is>
          <t>Fee base: item + buyer-paid shipping + sales tax. 'Tiered' = each rate applies only to the part of the total inside its band. 'Whole amount' = one rate on the whole total, depending on whether the total is within the limit. Pick the option code in the Quick Check tab's 'Fee option' column (blank = Most).</t>
        </is>
      </c>
    </row>
    <row r="36" ht="42" customHeight="1">
      <c r="A36" s="18" t="inlineStr">
        <is>
          <t>Option code</t>
        </is>
      </c>
      <c r="B36" s="18" t="inlineStr">
        <is>
          <t>eBay category</t>
        </is>
      </c>
      <c r="C36" s="18" t="inlineStr">
        <is>
          <t>Rate type</t>
        </is>
      </c>
      <c r="D36" s="18" t="inlineStr">
        <is>
          <t>Rate 1</t>
        </is>
      </c>
      <c r="E36" s="18" t="inlineStr">
        <is>
          <t>Up to (total)</t>
        </is>
      </c>
      <c r="F36" s="18" t="inlineStr">
        <is>
          <t>Rate 2</t>
        </is>
      </c>
      <c r="G36" s="18" t="inlineStr">
        <is>
          <t>Up to (total)</t>
        </is>
      </c>
      <c r="H36" s="18" t="inlineStr">
        <is>
          <t>Rate above</t>
        </is>
      </c>
      <c r="I36" s="18" t="inlineStr">
        <is>
          <t>No per-order fee if total ≥</t>
        </is>
      </c>
      <c r="J36" s="18" t="inlineStr">
        <is>
          <t>Notes</t>
        </is>
      </c>
    </row>
    <row r="37">
      <c r="A37" s="40" t="inlineStr">
        <is>
          <t>Most</t>
        </is>
      </c>
      <c r="B37" s="41" t="inlineStr">
        <is>
          <t>Most categories</t>
        </is>
      </c>
      <c r="C37" s="10" t="inlineStr">
        <is>
          <t>Tiered</t>
        </is>
      </c>
      <c r="D37" s="42" t="n">
        <v>0.136</v>
      </c>
      <c r="E37" s="89" t="n">
        <v>7500</v>
      </c>
      <c r="F37" s="42" t="n"/>
      <c r="G37" s="89" t="n"/>
      <c r="H37" s="42" t="n">
        <v>0.0235</v>
      </c>
      <c r="I37" s="89" t="n"/>
      <c r="J37" s="10" t="inlineStr"/>
    </row>
    <row r="38">
      <c r="A38" s="40" t="inlineStr">
        <is>
          <t>Books/Media</t>
        </is>
      </c>
      <c r="B38" s="41" t="inlineStr">
        <is>
          <t>Books &amp; Magazines, Movies &amp; TV, Music (not vinyl)</t>
        </is>
      </c>
      <c r="C38" s="10" t="inlineStr">
        <is>
          <t>Tiered</t>
        </is>
      </c>
      <c r="D38" s="42" t="n">
        <v>0.153</v>
      </c>
      <c r="E38" s="89" t="n">
        <v>7500</v>
      </c>
      <c r="F38" s="42" t="n"/>
      <c r="G38" s="89" t="n"/>
      <c r="H38" s="42" t="n">
        <v>0.0235</v>
      </c>
      <c r="I38" s="89" t="n"/>
      <c r="J38" s="10" t="inlineStr"/>
    </row>
    <row r="39">
      <c r="A39" s="40" t="inlineStr">
        <is>
          <t>Coins</t>
        </is>
      </c>
      <c r="B39" s="41" t="inlineStr">
        <is>
          <t>Coins &amp; Paper Money (except Bullion)</t>
        </is>
      </c>
      <c r="C39" s="10" t="inlineStr">
        <is>
          <t>Tiered</t>
        </is>
      </c>
      <c r="D39" s="42" t="n">
        <v>0.1325</v>
      </c>
      <c r="E39" s="89" t="n">
        <v>7500</v>
      </c>
      <c r="F39" s="42" t="n"/>
      <c r="G39" s="89" t="n"/>
      <c r="H39" s="42" t="n">
        <v>0.0235</v>
      </c>
      <c r="I39" s="89" t="n"/>
      <c r="J39" s="10" t="inlineStr"/>
    </row>
    <row r="40">
      <c r="A40" s="40" t="inlineStr">
        <is>
          <t>Bullion</t>
        </is>
      </c>
      <c r="B40" s="41" t="inlineStr">
        <is>
          <t>Coins &amp; Paper Money &gt; Bullion</t>
        </is>
      </c>
      <c r="C40" s="10" t="inlineStr">
        <is>
          <t>Whole amount (total &lt;= limit)</t>
        </is>
      </c>
      <c r="D40" s="42" t="n">
        <v>0.136</v>
      </c>
      <c r="E40" s="89" t="n">
        <v>7500</v>
      </c>
      <c r="F40" s="42" t="n"/>
      <c r="G40" s="89" t="n"/>
      <c r="H40" s="42" t="n">
        <v>0.07000000000000001</v>
      </c>
      <c r="I40" s="89" t="n"/>
      <c r="J40" s="10" t="inlineStr"/>
    </row>
    <row r="41">
      <c r="A41" s="40" t="inlineStr">
        <is>
          <t>Trading cards</t>
        </is>
      </c>
      <c r="B41" s="41" t="inlineStr">
        <is>
          <t>Trading cards, comics, collectible card games</t>
        </is>
      </c>
      <c r="C41" s="10" t="inlineStr">
        <is>
          <t>Tiered</t>
        </is>
      </c>
      <c r="D41" s="42" t="n">
        <v>0.1325</v>
      </c>
      <c r="E41" s="89" t="n">
        <v>7500</v>
      </c>
      <c r="F41" s="42" t="n"/>
      <c r="G41" s="89" t="n"/>
      <c r="H41" s="42" t="n">
        <v>0.0235</v>
      </c>
      <c r="I41" s="89" t="n"/>
      <c r="J41" s="10" t="inlineStr"/>
    </row>
    <row r="42">
      <c r="A42" s="40" t="inlineStr">
        <is>
          <t>Handbags</t>
        </is>
      </c>
      <c r="B42" s="41" t="inlineStr">
        <is>
          <t>Women's Bags &amp; Handbags</t>
        </is>
      </c>
      <c r="C42" s="10" t="inlineStr">
        <is>
          <t>Whole amount (total &lt;= limit)</t>
        </is>
      </c>
      <c r="D42" s="42" t="n">
        <v>0.15</v>
      </c>
      <c r="E42" s="89" t="n">
        <v>2000</v>
      </c>
      <c r="F42" s="42" t="n"/>
      <c r="G42" s="89" t="n"/>
      <c r="H42" s="42" t="n">
        <v>0.09</v>
      </c>
      <c r="I42" s="89" t="n"/>
      <c r="J42" s="10" t="inlineStr"/>
    </row>
    <row r="43">
      <c r="A43" s="40" t="inlineStr">
        <is>
          <t>Jewelry</t>
        </is>
      </c>
      <c r="B43" s="41" t="inlineStr">
        <is>
          <t>Jewelry &amp; Watches (except Watches, Parts &amp; Accessories)</t>
        </is>
      </c>
      <c r="C43" s="10" t="inlineStr">
        <is>
          <t>Whole amount (total &lt;= limit)</t>
        </is>
      </c>
      <c r="D43" s="42" t="n">
        <v>0.15</v>
      </c>
      <c r="E43" s="89" t="n">
        <v>5000</v>
      </c>
      <c r="F43" s="42" t="n"/>
      <c r="G43" s="89" t="n"/>
      <c r="H43" s="42" t="n">
        <v>0.09</v>
      </c>
      <c r="I43" s="89" t="n"/>
      <c r="J43" s="10" t="inlineStr"/>
    </row>
    <row r="44">
      <c r="A44" s="40" t="inlineStr">
        <is>
          <t>Watches</t>
        </is>
      </c>
      <c r="B44" s="41" t="inlineStr">
        <is>
          <t>Watches, Parts &amp; Accessories</t>
        </is>
      </c>
      <c r="C44" s="10" t="inlineStr">
        <is>
          <t>Tiered</t>
        </is>
      </c>
      <c r="D44" s="42" t="n">
        <v>0.15</v>
      </c>
      <c r="E44" s="89" t="n">
        <v>1000</v>
      </c>
      <c r="F44" s="42" t="n">
        <v>0.065</v>
      </c>
      <c r="G44" s="89" t="n">
        <v>7500</v>
      </c>
      <c r="H44" s="42" t="n">
        <v>0.03</v>
      </c>
      <c r="I44" s="89" t="n"/>
      <c r="J44" s="10" t="inlineStr"/>
    </row>
    <row r="45">
      <c r="A45" s="40" t="inlineStr">
        <is>
          <t>Guitars</t>
        </is>
      </c>
      <c r="B45" s="41" t="inlineStr">
        <is>
          <t>Guitars &amp; Basses</t>
        </is>
      </c>
      <c r="C45" s="10" t="inlineStr">
        <is>
          <t>Tiered</t>
        </is>
      </c>
      <c r="D45" s="42" t="n">
        <v>0.067</v>
      </c>
      <c r="E45" s="89" t="n">
        <v>7500</v>
      </c>
      <c r="F45" s="42" t="n"/>
      <c r="G45" s="89" t="n"/>
      <c r="H45" s="42" t="n">
        <v>0.0235</v>
      </c>
      <c r="I45" s="89" t="n"/>
      <c r="J45" s="44" t="inlineStr">
        <is>
          <t>Insertion fee free</t>
        </is>
      </c>
    </row>
    <row r="46">
      <c r="A46" s="40" t="inlineStr">
        <is>
          <t>Sneakers</t>
        </is>
      </c>
      <c r="B46" s="41" t="inlineStr">
        <is>
          <t>Athletic shoes (men's &amp; women's)</t>
        </is>
      </c>
      <c r="C46" s="10" t="inlineStr">
        <is>
          <t>Whole amount (total &lt; limit)</t>
        </is>
      </c>
      <c r="D46" s="42" t="n">
        <v>0.136</v>
      </c>
      <c r="E46" s="89" t="n">
        <v>150</v>
      </c>
      <c r="F46" s="42" t="n"/>
      <c r="G46" s="89" t="n"/>
      <c r="H46" s="42" t="n">
        <v>0.08</v>
      </c>
      <c r="I46" s="89" t="n">
        <v>150</v>
      </c>
      <c r="J46" s="44" t="inlineStr">
        <is>
          <t>8% and no per-order fee if the total is $150 or more; 13.6% under $150</t>
        </is>
      </c>
    </row>
    <row r="47" ht="28" customHeight="1">
      <c r="A47" s="9" t="inlineStr">
        <is>
          <t>Not included (per soldsplit.com): below-standard seller surcharges, Top Rated discounts, Promoted Listings, optional listing upgrades, eBay Motors, NFTs, Business &amp; Industrial and international fees.</t>
        </is>
      </c>
    </row>
    <row r="49">
      <c r="A49" s="6" t="inlineStr">
        <is>
          <t>3. Whatnot US commission by category and tier (effective Sep 21, 2026)</t>
        </is>
      </c>
    </row>
    <row r="50" ht="30" customHeight="1">
      <c r="A50" s="9" t="inlineStr">
        <is>
          <t>Commission is charged on the item price only (not shipping or tax). Tier = your Whatnot sales over the last 4 weeks. Processing (table 1) is charged on the full order. Whatnot says 3% rates are custom terms for its highest-volume sellers only.</t>
        </is>
      </c>
    </row>
    <row r="51" ht="42" customHeight="1">
      <c r="A51" s="18" t="inlineStr">
        <is>
          <t>Option code</t>
        </is>
      </c>
      <c r="B51" s="18" t="inlineStr">
        <is>
          <t>Whatnot category</t>
        </is>
      </c>
      <c r="C51" s="18" t="inlineStr">
        <is>
          <t>Standard</t>
        </is>
      </c>
      <c r="D51" s="18" t="inlineStr">
        <is>
          <t>Tier 1</t>
        </is>
      </c>
      <c r="E51" s="18" t="inlineStr">
        <is>
          <t>Tier 2</t>
        </is>
      </c>
      <c r="F51" s="18" t="inlineStr">
        <is>
          <t>Tier 3</t>
        </is>
      </c>
      <c r="G51" s="18" t="inlineStr">
        <is>
          <t>Tier 4</t>
        </is>
      </c>
      <c r="H51" s="18" t="inlineStr">
        <is>
          <t>Tier 5</t>
        </is>
      </c>
      <c r="I51" s="18" t="inlineStr">
        <is>
          <t>Tier 6</t>
        </is>
      </c>
      <c r="J51" s="18" t="inlineStr"/>
    </row>
    <row r="52" ht="28" customHeight="1">
      <c r="A52" s="16" t="inlineStr">
        <is>
          <t>Tier range</t>
        </is>
      </c>
      <c r="B52" s="16" t="inlineStr">
        <is>
          <t>(sales in the last 4 weeks)</t>
        </is>
      </c>
      <c r="C52" s="45" t="inlineStr">
        <is>
          <t>$0 - $14,999 in 4 weeks</t>
        </is>
      </c>
      <c r="D52" s="45" t="inlineStr">
        <is>
          <t>$15,000 - $34,999</t>
        </is>
      </c>
      <c r="E52" s="45" t="inlineStr">
        <is>
          <t>$35,000 - $49,999</t>
        </is>
      </c>
      <c r="F52" s="45" t="inlineStr">
        <is>
          <t>$50,000 - $99,999</t>
        </is>
      </c>
      <c r="G52" s="45" t="inlineStr">
        <is>
          <t>$100,000 - $249,999</t>
        </is>
      </c>
      <c r="H52" s="45" t="inlineStr">
        <is>
          <t>$250,000 - $499,999</t>
        </is>
      </c>
      <c r="I52" s="45" t="inlineStr">
        <is>
          <t>$500,000+</t>
        </is>
      </c>
    </row>
    <row r="53">
      <c r="A53" s="40" t="inlineStr">
        <is>
          <t>Sports</t>
        </is>
      </c>
      <c r="B53" s="41" t="inlineStr">
        <is>
          <t>Sports</t>
        </is>
      </c>
      <c r="C53" s="42" t="n">
        <v>0.08</v>
      </c>
      <c r="D53" s="42" t="n">
        <v>0.0775</v>
      </c>
      <c r="E53" s="42" t="n">
        <v>0.075</v>
      </c>
      <c r="F53" s="42" t="n">
        <v>0.0725</v>
      </c>
      <c r="G53" s="42" t="n">
        <v>0.07000000000000001</v>
      </c>
      <c r="H53" s="42" t="n">
        <v>0.0675</v>
      </c>
      <c r="I53" s="42" t="n">
        <v>0.065</v>
      </c>
    </row>
    <row r="54">
      <c r="A54" s="40" t="inlineStr">
        <is>
          <t>TCG</t>
        </is>
      </c>
      <c r="B54" s="41" t="inlineStr">
        <is>
          <t>TCG (trading card games)</t>
        </is>
      </c>
      <c r="C54" s="42" t="n">
        <v>0.08</v>
      </c>
      <c r="D54" s="42" t="n">
        <v>0.0775</v>
      </c>
      <c r="E54" s="42" t="n">
        <v>0.075</v>
      </c>
      <c r="F54" s="42" t="n">
        <v>0.0725</v>
      </c>
      <c r="G54" s="42" t="n">
        <v>0.07000000000000001</v>
      </c>
      <c r="H54" s="42" t="n">
        <v>0.0675</v>
      </c>
      <c r="I54" s="42" t="n">
        <v>0.065</v>
      </c>
    </row>
    <row r="55">
      <c r="A55" s="40" t="inlineStr">
        <is>
          <t>Fashion</t>
        </is>
      </c>
      <c r="B55" s="41" t="inlineStr">
        <is>
          <t>Fashion</t>
        </is>
      </c>
      <c r="C55" s="42" t="n">
        <v>0.08</v>
      </c>
      <c r="D55" s="42" t="n">
        <v>0.07000000000000001</v>
      </c>
      <c r="E55" s="42" t="n">
        <v>0.065</v>
      </c>
      <c r="F55" s="42" t="n">
        <v>0.055</v>
      </c>
      <c r="G55" s="42" t="n">
        <v>0.05</v>
      </c>
      <c r="H55" s="42" t="n">
        <v>0.045</v>
      </c>
      <c r="I55" s="42" t="n">
        <v>0.045</v>
      </c>
    </row>
    <row r="56">
      <c r="A56" s="40" t="inlineStr">
        <is>
          <t>Collectibles</t>
        </is>
      </c>
      <c r="B56" s="41" t="inlineStr">
        <is>
          <t>Other Collectibles</t>
        </is>
      </c>
      <c r="C56" s="42" t="n">
        <v>0.08</v>
      </c>
      <c r="D56" s="42" t="n">
        <v>0.0725</v>
      </c>
      <c r="E56" s="42" t="n">
        <v>0.065</v>
      </c>
      <c r="F56" s="42" t="n">
        <v>0.06</v>
      </c>
      <c r="G56" s="42" t="n">
        <v>0.05</v>
      </c>
      <c r="H56" s="42" t="n">
        <v>0.05</v>
      </c>
      <c r="I56" s="42" t="n">
        <v>0.05</v>
      </c>
    </row>
    <row r="57">
      <c r="A57" s="40" t="inlineStr">
        <is>
          <t>Coins</t>
        </is>
      </c>
      <c r="B57" s="41" t="inlineStr">
        <is>
          <t>Coins</t>
        </is>
      </c>
      <c r="C57" s="42" t="n">
        <v>0.04</v>
      </c>
      <c r="D57" s="42" t="n">
        <v>0.039</v>
      </c>
      <c r="E57" s="42" t="n">
        <v>0.038</v>
      </c>
      <c r="F57" s="42" t="n">
        <v>0.037</v>
      </c>
      <c r="G57" s="42" t="n">
        <v>0.036</v>
      </c>
      <c r="H57" s="42" t="n">
        <v>0.0355</v>
      </c>
      <c r="I57" s="42" t="n">
        <v>0.035</v>
      </c>
    </row>
    <row r="58">
      <c r="A58" s="40" t="inlineStr">
        <is>
          <t>Other</t>
        </is>
      </c>
      <c r="B58" s="41" t="inlineStr">
        <is>
          <t>Other</t>
        </is>
      </c>
      <c r="C58" s="42" t="n">
        <v>0.08</v>
      </c>
      <c r="D58" s="42" t="n">
        <v>0.07000000000000001</v>
      </c>
      <c r="E58" s="42" t="n">
        <v>0.065</v>
      </c>
      <c r="F58" s="42" t="n">
        <v>0.055</v>
      </c>
      <c r="G58" s="42" t="n">
        <v>0.04</v>
      </c>
      <c r="H58" s="42" t="n">
        <v>0.04</v>
      </c>
      <c r="I58" s="42" t="n">
        <v>0.04</v>
      </c>
    </row>
    <row r="59" ht="44" customHeight="1">
      <c r="A59" s="9" t="inlineStr">
        <is>
          <t>Premier Shop discount: Whatnot's 10% Premier Shop commission discount applies through October 31, 2026 and ends November 1, 2026. It is not modeled here (soldsplit.com doesn't model it either). Worked example from Whatnot's fee page: $10 item, $4.99 shipping, $0.85 tax: commission 8% x $10 = $0.80; processing 2.9% x $15.84 + $0.30 = $0.76. An order where the buyer pays $0 in total (most giveaways) gets $0 processing, as on soldsplit.com.</t>
        </is>
      </c>
    </row>
    <row r="61">
      <c r="A61" s="6" t="inlineStr">
        <is>
          <t>4. Depop options</t>
        </is>
      </c>
    </row>
    <row r="62" ht="22" customHeight="1">
      <c r="A62" s="18" t="inlineStr">
        <is>
          <t>Option code</t>
        </is>
      </c>
      <c r="B62" s="18" t="inlineStr">
        <is>
          <t>What it does</t>
        </is>
      </c>
      <c r="C62" s="30" t="n"/>
      <c r="D62" s="30" t="n"/>
      <c r="E62" s="30" t="n"/>
      <c r="F62" s="30" t="n"/>
      <c r="G62" s="30" t="n"/>
      <c r="H62" s="30" t="n"/>
      <c r="I62" s="30" t="n"/>
      <c r="J62" s="11" t="n"/>
    </row>
    <row r="63">
      <c r="A63" s="40" t="inlineStr">
        <is>
          <t>Boosted</t>
        </is>
      </c>
      <c r="B63" s="14" t="inlineStr">
        <is>
          <t>Boosted listing, shipped with a Depop label: 12% boosting fee on the item price.</t>
        </is>
      </c>
    </row>
    <row r="64">
      <c r="A64" s="40" t="inlineStr">
        <is>
          <t>Boosted own label</t>
        </is>
      </c>
      <c r="B64" s="14" t="inlineStr">
        <is>
          <t>Boosted listing, shipped with your own label: 12% on the item price + shipping.</t>
        </is>
      </c>
    </row>
    <row r="65">
      <c r="A65" s="40" t="inlineStr">
        <is>
          <t>(blank)</t>
        </is>
      </c>
      <c r="B65" s="14" t="inlineStr">
        <is>
          <t>Not boosted: processing only.</t>
        </is>
      </c>
    </row>
    <row r="67">
      <c r="A67" s="6" t="inlineStr">
        <is>
          <t>5. What each platform charges on (soldsplit.com, US sellers)</t>
        </is>
      </c>
    </row>
    <row r="68" ht="30" customHeight="1">
      <c r="A68" s="18" t="inlineStr">
        <is>
          <t>Platform</t>
        </is>
      </c>
      <c r="B68" s="18" t="inlineStr">
        <is>
          <t>Main fee</t>
        </is>
      </c>
      <c r="C68" s="18" t="inlineStr">
        <is>
          <t>Charged on shipping?</t>
        </is>
      </c>
      <c r="D68" s="11" t="n"/>
      <c r="E68" s="18" t="inlineStr">
        <is>
          <t>Charged on sales tax?</t>
        </is>
      </c>
      <c r="F68" s="11" t="n"/>
      <c r="G68" s="18" t="inlineStr">
        <is>
          <t>Processing / flat fees</t>
        </is>
      </c>
      <c r="H68" s="30" t="n"/>
      <c r="I68" s="30" t="n"/>
      <c r="J68" s="11" t="n"/>
    </row>
    <row r="69">
      <c r="A69" s="46" t="inlineStr">
        <is>
          <t>eBay</t>
        </is>
      </c>
      <c r="B69" s="41" t="inlineStr">
        <is>
          <t>13.6% (most categories)</t>
        </is>
      </c>
      <c r="C69" s="41" t="inlineStr">
        <is>
          <t>Yes</t>
        </is>
      </c>
      <c r="D69" s="11" t="n"/>
      <c r="E69" s="41" t="inlineStr">
        <is>
          <t>Yes</t>
        </is>
      </c>
      <c r="F69" s="11" t="n"/>
      <c r="G69" s="41" t="inlineStr">
        <is>
          <t>$0.30/$0.40 per order; processing included</t>
        </is>
      </c>
      <c r="H69" s="30" t="n"/>
      <c r="I69" s="30" t="n"/>
      <c r="J69" s="11" t="n"/>
    </row>
    <row r="70">
      <c r="A70" s="46" t="inlineStr">
        <is>
          <t>Poshmark</t>
        </is>
      </c>
      <c r="B70" s="41" t="inlineStr">
        <is>
          <t>20% ($2.95 under $15)</t>
        </is>
      </c>
      <c r="C70" s="41" t="inlineStr">
        <is>
          <t>No (buyer pays Poshmark)</t>
        </is>
      </c>
      <c r="D70" s="11" t="n"/>
      <c r="E70" s="41" t="inlineStr">
        <is>
          <t>No</t>
        </is>
      </c>
      <c r="F70" s="11" t="n"/>
      <c r="G70" s="41" t="inlineStr">
        <is>
          <t>Included</t>
        </is>
      </c>
      <c r="H70" s="30" t="n"/>
      <c r="I70" s="30" t="n"/>
      <c r="J70" s="11" t="n"/>
    </row>
    <row r="71">
      <c r="A71" s="46" t="inlineStr">
        <is>
          <t>Mercari</t>
        </is>
      </c>
      <c r="B71" s="41" t="inlineStr">
        <is>
          <t>10%</t>
        </is>
      </c>
      <c r="C71" s="41" t="inlineStr">
        <is>
          <t>Yes</t>
        </is>
      </c>
      <c r="D71" s="11" t="n"/>
      <c r="E71" s="41" t="inlineStr">
        <is>
          <t>No</t>
        </is>
      </c>
      <c r="F71" s="11" t="n"/>
      <c r="G71" s="41" t="inlineStr">
        <is>
          <t>None for sellers</t>
        </is>
      </c>
      <c r="H71" s="30" t="n"/>
      <c r="I71" s="30" t="n"/>
      <c r="J71" s="11" t="n"/>
    </row>
    <row r="72">
      <c r="A72" s="46" t="inlineStr">
        <is>
          <t>Whatnot</t>
        </is>
      </c>
      <c r="B72" s="41" t="inlineStr">
        <is>
          <t>4%-8% by category and tier</t>
        </is>
      </c>
      <c r="C72" s="41" t="inlineStr">
        <is>
          <t>Commission no; processing yes</t>
        </is>
      </c>
      <c r="D72" s="11" t="n"/>
      <c r="E72" s="41" t="inlineStr">
        <is>
          <t>Commission no; processing yes</t>
        </is>
      </c>
      <c r="F72" s="11" t="n"/>
      <c r="G72" s="41" t="inlineStr">
        <is>
          <t>2.9% + $0.30 ($0 on a $0 order)</t>
        </is>
      </c>
      <c r="H72" s="30" t="n"/>
      <c r="I72" s="30" t="n"/>
      <c r="J72" s="11" t="n"/>
    </row>
    <row r="73">
      <c r="A73" s="46" t="inlineStr">
        <is>
          <t>Depop</t>
        </is>
      </c>
      <c r="B73" s="41" t="inlineStr">
        <is>
          <t>0% (US)</t>
        </is>
      </c>
      <c r="C73" s="41" t="inlineStr">
        <is>
          <t>Processing yes</t>
        </is>
      </c>
      <c r="D73" s="11" t="n"/>
      <c r="E73" s="41" t="inlineStr">
        <is>
          <t>Processing yes</t>
        </is>
      </c>
      <c r="F73" s="11" t="n"/>
      <c r="G73" s="41" t="inlineStr">
        <is>
          <t>3.3% + $0.45; 12% if boosted</t>
        </is>
      </c>
      <c r="H73" s="30" t="n"/>
      <c r="I73" s="30" t="n"/>
      <c r="J73" s="11" t="n"/>
    </row>
    <row r="74">
      <c r="A74" s="46" t="inlineStr">
        <is>
          <t>Etsy</t>
        </is>
      </c>
      <c r="B74" s="41" t="inlineStr">
        <is>
          <t>6.5%</t>
        </is>
      </c>
      <c r="C74" s="41" t="inlineStr">
        <is>
          <t>Yes</t>
        </is>
      </c>
      <c r="D74" s="11" t="n"/>
      <c r="E74" s="41" t="inlineStr">
        <is>
          <t>Transaction no; processing yes</t>
        </is>
      </c>
      <c r="F74" s="11" t="n"/>
      <c r="G74" s="41" t="inlineStr">
        <is>
          <t>3% + $0.25; $0.20 listing</t>
        </is>
      </c>
      <c r="H74" s="30" t="n"/>
      <c r="I74" s="30" t="n"/>
      <c r="J74" s="11" t="n"/>
    </row>
    <row r="75" ht="30" customHeight="1">
      <c r="A75" s="9" t="inlineStr">
        <is>
          <t>Sales tax is collected and remitted by the marketplace, so it is never part of your payout, but eBay, Whatnot (processing), Depop and Etsy (processing) still charge a percentage on it. Each fee line is rounded to the cent. Assumes US seller, US buyer, one item per order, standard account, no promotions, ads, refunds or instant-payout fees.</t>
        </is>
      </c>
    </row>
    <row r="77">
      <c r="A77" s="6" t="inlineStr">
        <is>
          <t>6. Fee rules in full, with official sources</t>
        </is>
      </c>
    </row>
    <row r="78" ht="22" customHeight="1">
      <c r="A78" s="18" t="inlineStr">
        <is>
          <t>Platform</t>
        </is>
      </c>
      <c r="B78" s="18" t="inlineStr">
        <is>
          <t>How the fee is calculated (soldsplit.com)</t>
        </is>
      </c>
      <c r="C78" s="30" t="n"/>
      <c r="D78" s="30" t="n"/>
      <c r="E78" s="30" t="n"/>
      <c r="F78" s="30" t="n"/>
      <c r="G78" s="30" t="n"/>
      <c r="H78" s="30" t="n"/>
      <c r="I78" s="11" t="n"/>
      <c r="J78" s="18" t="inlineStr">
        <is>
          <t>Official source</t>
        </is>
      </c>
    </row>
    <row r="79" ht="44" customHeight="1">
      <c r="A79" s="7" t="inlineStr">
        <is>
          <t>eBay</t>
        </is>
      </c>
      <c r="B79" s="13" t="inlineStr">
        <is>
          <t>Final value fee is a % of the total amount of the sale: item price + buyer-paid shipping/handling + sales tax. Plus a per-order fee of $0.30 (order total $10.00 or less) or $0.40 (over $10.00).</t>
        </is>
      </c>
      <c r="J79" s="15">
        <f>HYPERLINK("https://www.ebay.com/help/selling/fees-credits-invoices/selling-fees?id=4822","eBay official fee page")</f>
        <v/>
      </c>
    </row>
    <row r="80">
      <c r="B80" s="15">
        <f>HYPERLINK("https://soldsplit.com/ebay-fee-calculator/","SoldSplit eBay fee calculator")</f>
        <v/>
      </c>
    </row>
    <row r="81" ht="44" customHeight="1">
      <c r="A81" s="7" t="inlineStr">
        <is>
          <t>Poshmark</t>
        </is>
      </c>
      <c r="B81" s="13" t="inlineStr">
        <is>
          <t>Flat $2.95 on sales under $15; 20% of the sale price on sales of $15 or more. The buyer pays Poshmark for the prepaid shipping label, so shipping is not part of your fee or payout.</t>
        </is>
      </c>
      <c r="J81" s="15">
        <f>HYPERLINK("https://poshmark.com/posh_guide/get_started_on_poshmark","Poshmark official fee page")</f>
        <v/>
      </c>
    </row>
    <row r="82">
      <c r="B82" s="15">
        <f>HYPERLINK("https://soldsplit.com/poshmark-fee-calculator/","SoldSplit Poshmark fee calculator")</f>
        <v/>
      </c>
    </row>
    <row r="83" ht="44" customHeight="1">
      <c r="A83" s="7" t="inlineStr">
        <is>
          <t>Mercari</t>
        </is>
      </c>
      <c r="B83" s="13" t="inlineStr">
        <is>
          <t>10% selling fee on the item price + buyer-paid shipping (listings created or updated on/after Jan 6, 2025). No separate seller payment-processing fee. Buyers separately pay a 3.6% Buyer Protection fee.</t>
        </is>
      </c>
      <c r="J83" s="15">
        <f>HYPERLINK("https://www.mercari.com/us/help_center/article/169/","Mercari official fee page")</f>
        <v/>
      </c>
    </row>
    <row r="84">
      <c r="B84" s="15">
        <f>HYPERLINK("https://soldsplit.com/mercari-fee-calculator/","SoldSplit Mercari fee calculator")</f>
        <v/>
      </c>
    </row>
    <row r="85" ht="44" customHeight="1">
      <c r="A85" s="7" t="inlineStr">
        <is>
          <t>Whatnot</t>
        </is>
      </c>
      <c r="B85" s="13" t="inlineStr">
        <is>
          <t>Commission is a % of the item sale price only (not shipping or tax), set by category and by your 4-week sales tier. Payment processing is 2.9% + $0.30 on the total the buyer pays (item + shipping + tax), and $0 when the buyer pays $0 (e.g. a giveaway).</t>
        </is>
      </c>
      <c r="J85" s="15">
        <f>HYPERLINK("https://help.whatnot.com/hc/en-us/articles/4847069165965-Whatnot-seller-fees","Whatnot official fee page")</f>
        <v/>
      </c>
    </row>
    <row r="86">
      <c r="B86" s="15">
        <f>HYPERLINK("https://soldsplit.com/whatnot-fee-calculator/","SoldSplit Whatnot fee calculator")</f>
        <v/>
      </c>
    </row>
    <row r="87" ht="44" customHeight="1">
      <c r="A87" s="7" t="inlineStr">
        <is>
          <t>Depop</t>
        </is>
      </c>
      <c r="B87" s="13" t="inlineStr">
        <is>
          <t>US sellers pay no Depop selling fee. Payment processing (Depop Payments via Stripe) is 3.3% + $0.45 on item price + shipping + any taxes. Optional Boosted Listings cost 12% (US, new listings from 23 Mar 2026) of the item price, plus shipping if you did not use a Depop shipping label.</t>
        </is>
      </c>
      <c r="J87" s="15">
        <f>HYPERLINK("https://depophelp.zendesk.com/hc/en-gb/articles/360001791127-Seller-fees-and-charges","Depop official fee page")</f>
        <v/>
      </c>
    </row>
    <row r="88">
      <c r="B88" s="15">
        <f>HYPERLINK("https://soldsplit.com/depop-fee-calculator/","SoldSplit Depop fee calculator")</f>
        <v/>
      </c>
    </row>
    <row r="89" ht="44" customHeight="1">
      <c r="A89" s="7" t="inlineStr">
        <is>
          <t>Etsy</t>
        </is>
      </c>
      <c r="B89" s="13" t="inlineStr">
        <is>
          <t>$0.20 listing fee per item; 6.5% transaction fee on item price + shipping (+ gift wrap); for US sellers the transaction fee does not apply to sales tax. Payment processing (US bank account) is 3% + $0.25 on the total including shipping and sales tax. Offsite Ads fees are not included.</t>
        </is>
      </c>
      <c r="J89" s="15">
        <f>HYPERLINK("https://www.etsy.com/legal/fees/","Etsy official fee page")</f>
        <v/>
      </c>
    </row>
    <row r="90">
      <c r="B90" s="15">
        <f>HYPERLINK("https://soldsplit.com/etsy-fee-calculator/","SoldSplit Etsy fee calculator")</f>
        <v/>
      </c>
    </row>
    <row r="92">
      <c r="A92" s="6" t="inlineStr">
        <is>
          <t>7. Fee change log (soldsplit.com/fee-changes)</t>
        </is>
      </c>
    </row>
    <row r="93" ht="22" customHeight="1">
      <c r="A93" s="18" t="inlineStr">
        <is>
          <t>Date</t>
        </is>
      </c>
      <c r="B93" s="18" t="inlineStr">
        <is>
          <t>Platform / change</t>
        </is>
      </c>
      <c r="C93" s="30" t="n"/>
      <c r="D93" s="30" t="n"/>
      <c r="E93" s="30" t="n"/>
      <c r="F93" s="30" t="n"/>
      <c r="G93" s="30" t="n"/>
      <c r="H93" s="30" t="n"/>
      <c r="I93" s="11" t="n"/>
      <c r="J93" s="18" t="inlineStr">
        <is>
          <t>What changed</t>
        </is>
      </c>
    </row>
    <row r="94" ht="64" customHeight="1">
      <c r="A94" s="90" t="n">
        <v>46327</v>
      </c>
      <c r="B94" s="14" t="inlineStr">
        <is>
          <t>Whatnot: Premier Shop commission discount ends</t>
        </is>
      </c>
      <c r="J94" s="9" t="inlineStr">
        <is>
          <t>Whatnot's 10% Premier Shop discount on commission applies through October 31, 2026 and ends on November 1, 2026. (Not modeled in this tracker.)</t>
        </is>
      </c>
    </row>
    <row r="95" ht="64" customHeight="1">
      <c r="A95" s="90" t="n">
        <v>46286</v>
      </c>
      <c r="B95" s="14" t="inlineStr">
        <is>
          <t>Whatnot: Tiered commission by category and sales volume</t>
        </is>
      </c>
      <c r="J95" s="9" t="inlineStr">
        <is>
          <t>US commission now depends on category and 4-week sales tier: 8% Standard in most categories (4% for Coins), falling to 4%-6.5% at the top tier. Commission applies to the item price only; processing stays 2.9% + $0.30 on the full order.</t>
        </is>
      </c>
    </row>
    <row r="96" ht="64" customHeight="1">
      <c r="A96" s="90" t="n">
        <v>46104</v>
      </c>
      <c r="B96" s="14" t="inlineStr">
        <is>
          <t>Depop: Boosting fee 12% for new boosted listings (US/UK)</t>
        </is>
      </c>
      <c r="J96" s="9" t="inlineStr">
        <is>
          <t>Boosted listings created from March 23, 2026 in the US and UK carry a 12% boosting fee on the item price, plus shipping when a Depop label is not used.</t>
        </is>
      </c>
    </row>
    <row r="97" ht="64" customHeight="1">
      <c r="A97" s="90" t="n">
        <v>45663</v>
      </c>
      <c r="B97" s="14" t="inlineStr">
        <is>
          <t>Mercari: 10% selling fee including shipping; buyer protection fee</t>
        </is>
      </c>
      <c r="J97" s="9" t="inlineStr">
        <is>
          <t>For listings created or updated on or after January 6, 2025, sellers pay 10% of the item price plus buyer-paid shipping, and buyers pay a 3.6% Buyer Protection fee.</t>
        </is>
      </c>
    </row>
    <row r="98" ht="64" customHeight="1">
      <c r="A98" s="90" t="n">
        <v>45589</v>
      </c>
      <c r="B98" s="14" t="inlineStr">
        <is>
          <t>Poshmark: Return to original seller fees</t>
        </is>
      </c>
      <c r="J98" s="9" t="inlineStr">
        <is>
          <t>Poshmark returned to its original seller fees ($2.95 flat on small sales, 20% otherwise) and removed the buyer protection fee it had introduced.</t>
        </is>
      </c>
    </row>
  </sheetData>
  <mergeCells count="92">
    <mergeCell ref="D4:J4"/>
    <mergeCell ref="D10:H10"/>
    <mergeCell ref="E71:F71"/>
    <mergeCell ref="D19:H19"/>
    <mergeCell ref="I26:J26"/>
    <mergeCell ref="C73:D73"/>
    <mergeCell ref="B96:I96"/>
    <mergeCell ref="E73:F73"/>
    <mergeCell ref="I16:J16"/>
    <mergeCell ref="G72:J72"/>
    <mergeCell ref="I25:J25"/>
    <mergeCell ref="D11:H11"/>
    <mergeCell ref="B98:I98"/>
    <mergeCell ref="G71:J71"/>
    <mergeCell ref="I18:J18"/>
    <mergeCell ref="B64:J64"/>
    <mergeCell ref="A6:J6"/>
    <mergeCell ref="D28:H28"/>
    <mergeCell ref="B63:J63"/>
    <mergeCell ref="D30:H30"/>
    <mergeCell ref="A75:J75"/>
    <mergeCell ref="B83:I83"/>
    <mergeCell ref="I20:J20"/>
    <mergeCell ref="D29:H29"/>
    <mergeCell ref="G74:J74"/>
    <mergeCell ref="D23:H23"/>
    <mergeCell ref="G68:J68"/>
    <mergeCell ref="I13:J13"/>
    <mergeCell ref="B85:I85"/>
    <mergeCell ref="C69:D69"/>
    <mergeCell ref="I30:J30"/>
    <mergeCell ref="I15:J15"/>
    <mergeCell ref="I32:J32"/>
    <mergeCell ref="D27:H27"/>
    <mergeCell ref="D17:H17"/>
    <mergeCell ref="G70:J70"/>
    <mergeCell ref="B78:I78"/>
    <mergeCell ref="B87:I87"/>
    <mergeCell ref="I24:J24"/>
    <mergeCell ref="C71:D71"/>
    <mergeCell ref="I17:J17"/>
    <mergeCell ref="D12:H12"/>
    <mergeCell ref="D25:H25"/>
    <mergeCell ref="I19:J19"/>
    <mergeCell ref="A50:J50"/>
    <mergeCell ref="D14:H14"/>
    <mergeCell ref="A2:J2"/>
    <mergeCell ref="A47:J47"/>
    <mergeCell ref="C68:D68"/>
    <mergeCell ref="E68:F68"/>
    <mergeCell ref="I11:J11"/>
    <mergeCell ref="D31:H31"/>
    <mergeCell ref="B93:I93"/>
    <mergeCell ref="D21:H21"/>
    <mergeCell ref="A59:J59"/>
    <mergeCell ref="E69:F69"/>
    <mergeCell ref="D32:H32"/>
    <mergeCell ref="I21:J21"/>
    <mergeCell ref="D16:H16"/>
    <mergeCell ref="I23:J23"/>
    <mergeCell ref="C70:D70"/>
    <mergeCell ref="E70:F70"/>
    <mergeCell ref="D18:H18"/>
    <mergeCell ref="B62:J62"/>
    <mergeCell ref="E72:F72"/>
    <mergeCell ref="B95:I95"/>
    <mergeCell ref="B89:I89"/>
    <mergeCell ref="B79:I79"/>
    <mergeCell ref="B97:I97"/>
    <mergeCell ref="D20:H20"/>
    <mergeCell ref="G73:J73"/>
    <mergeCell ref="B81:I81"/>
    <mergeCell ref="I27:J27"/>
    <mergeCell ref="A35:J35"/>
    <mergeCell ref="C74:D74"/>
    <mergeCell ref="D22:H22"/>
    <mergeCell ref="D13:H13"/>
    <mergeCell ref="I22:J22"/>
    <mergeCell ref="I28:J28"/>
    <mergeCell ref="B65:J65"/>
    <mergeCell ref="E74:F74"/>
    <mergeCell ref="A1:J1"/>
    <mergeCell ref="I12:J12"/>
    <mergeCell ref="I14:J14"/>
    <mergeCell ref="I29:J29"/>
    <mergeCell ref="D15:H15"/>
    <mergeCell ref="C72:D72"/>
    <mergeCell ref="D24:H24"/>
    <mergeCell ref="G69:J69"/>
    <mergeCell ref="B94:I94"/>
    <mergeCell ref="I31:J31"/>
    <mergeCell ref="D26:H26"/>
  </mergeCells>
  <dataValidations count="3">
    <dataValidation sqref="C21" showDropDown="0" showInputMessage="0" showErrorMessage="1" allowBlank="1" errorTitle="Invalid entry" error="Pick a value from the list" type="list">
      <formula1>"Standard,Tier 1,Tier 2,Tier 3,Tier 4,Tier 5,Tier 6"</formula1>
    </dataValidation>
    <dataValidation sqref="C27" showDropDown="0" showInputMessage="0" showErrorMessage="1" allowBlank="1" errorTitle="Invalid entry" error="Pick a value from the list" type="list">
      <formula1>"Yes,No"</formula1>
    </dataValidation>
    <dataValidation sqref="C37:C46" showDropDown="0" showInputMessage="0" showErrorMessage="1" allowBlank="1" errorTitle="Invalid entry" error="Pick a value from the list" type="list">
      <formula1>"Tiered,Whole amount (total &lt;= limit),Whole amount (total &lt; limit)"</formula1>
    </dataValidation>
  </dataValidations>
  <pageMargins left="0.75" right="0.75" top="1" bottom="1" header="0.5" footer="0.5"/>
  <pageSetup orientation="landscape" fitToHeight="0" fitToWidth="1"/>
  <headerFooter>
    <oddHeader/>
    <oddFooter>&amp;LSoldSplit · fee estimates only; fees change, check soldsplit.com&amp;RPage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6C453"/>
    <outlinePr summaryBelow="1" summaryRight="1"/>
    <pageSetUpPr/>
  </sheetPr>
  <dimension ref="A1:D17"/>
  <sheetViews>
    <sheetView showGridLines="0" tabSelected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2" customWidth="1" min="3" max="3"/>
    <col width="22" customWidth="1" min="4" max="4"/>
  </cols>
  <sheetData>
    <row r="1" ht="34" customHeight="1">
      <c r="A1" s="60" t="inlineStr">
        <is>
          <t>Need more than 25 sales?</t>
        </is>
      </c>
    </row>
    <row r="2" ht="22" customHeight="1">
      <c r="A2" s="82" t="inlineStr">
        <is>
          <t>This free file is a cut-down of the SoldSplit Profit &amp; Inventory Tracker. Same fee rules, more room and more tabs.</t>
        </is>
      </c>
    </row>
    <row r="4" ht="46" customHeight="1">
      <c r="A4" s="74" t="inlineStr"/>
      <c r="B4" s="74" t="inlineStr">
        <is>
          <t>Quick Profit Check
(this free file)</t>
        </is>
      </c>
      <c r="C4" s="74" t="inlineStr">
        <is>
          <t>Profit &amp; Inventory Tracker</t>
        </is>
      </c>
      <c r="D4" s="74" t="inlineStr">
        <is>
          <t>Reseller Bundle
(Tracker + Tax Records Kit)</t>
        </is>
      </c>
    </row>
    <row r="5" ht="18" customHeight="1">
      <c r="A5" s="91" t="inlineStr">
        <is>
          <t>Sale rows</t>
        </is>
      </c>
      <c r="B5" s="92" t="inlineStr">
        <is>
          <t>25</t>
        </is>
      </c>
      <c r="C5" s="92" t="inlineStr">
        <is>
          <t>1,000</t>
        </is>
      </c>
      <c r="D5" s="92" t="inlineStr">
        <is>
          <t>1,000</t>
        </is>
      </c>
    </row>
    <row r="6" ht="30" customHeight="1">
      <c r="A6" s="91" t="inlineStr">
        <is>
          <t>Fee estimates for eBay, Poshmark, Mercari, Whatnot, Depop, Etsy</t>
        </is>
      </c>
      <c r="B6" s="93" t="inlineStr">
        <is>
          <t>Yes</t>
        </is>
      </c>
      <c r="C6" s="93" t="inlineStr">
        <is>
          <t>Yes</t>
        </is>
      </c>
      <c r="D6" s="93" t="inlineStr">
        <is>
          <t>Yes</t>
        </is>
      </c>
    </row>
    <row r="7" ht="18" customHeight="1">
      <c r="A7" s="91" t="inlineStr">
        <is>
          <t>Inventory with SKUs, days to sell</t>
        </is>
      </c>
      <c r="B7" s="92" t="inlineStr">
        <is>
          <t>No</t>
        </is>
      </c>
      <c r="C7" s="93" t="inlineStr">
        <is>
          <t>Yes</t>
        </is>
      </c>
      <c r="D7" s="93" t="inlineStr">
        <is>
          <t>Yes</t>
        </is>
      </c>
    </row>
    <row r="8" ht="18" customHeight="1">
      <c r="A8" s="91" t="inlineStr">
        <is>
          <t>Monthly dashboard by platform</t>
        </is>
      </c>
      <c r="B8" s="92" t="inlineStr">
        <is>
          <t>No</t>
        </is>
      </c>
      <c r="C8" s="93" t="inlineStr">
        <is>
          <t>Yes</t>
        </is>
      </c>
      <c r="D8" s="93" t="inlineStr">
        <is>
          <t>Yes</t>
        </is>
      </c>
    </row>
    <row r="9" ht="30" customHeight="1">
      <c r="A9" s="91" t="inlineStr">
        <is>
          <t>Tax Kit Export tab (one paste into the Tax Records Kit)</t>
        </is>
      </c>
      <c r="B9" s="92" t="inlineStr">
        <is>
          <t>No</t>
        </is>
      </c>
      <c r="C9" s="93" t="inlineStr">
        <is>
          <t>Yes</t>
        </is>
      </c>
      <c r="D9" s="93" t="inlineStr">
        <is>
          <t>Yes</t>
        </is>
      </c>
    </row>
    <row r="10" ht="44" customHeight="1">
      <c r="A10" s="91" t="inlineStr">
        <is>
          <t>Tax Records Kit: 1099-K reconciliation, COGS &amp; inventory, expenses, mileage log, year-end summary</t>
        </is>
      </c>
      <c r="B10" s="92" t="inlineStr">
        <is>
          <t>No</t>
        </is>
      </c>
      <c r="C10" s="92" t="inlineStr">
        <is>
          <t>No</t>
        </is>
      </c>
      <c r="D10" s="93" t="inlineStr">
        <is>
          <t>Yes</t>
        </is>
      </c>
    </row>
    <row r="11" ht="30" customHeight="1">
      <c r="A11" s="91" t="inlineStr">
        <is>
          <t>Blank + filled-in SAMPLE versions, Excel (.xlsx)</t>
        </is>
      </c>
      <c r="B11" s="93" t="inlineStr">
        <is>
          <t>Yes</t>
        </is>
      </c>
      <c r="C11" s="93" t="inlineStr">
        <is>
          <t>Yes</t>
        </is>
      </c>
      <c r="D11" s="93" t="inlineStr">
        <is>
          <t>Yes</t>
        </is>
      </c>
    </row>
    <row r="13" ht="20" customHeight="1">
      <c r="A13" s="94">
        <f>HYPERLINK("https://soldsplit.gumroad.com/l/paspz","Get the full Profit &amp; Inventory Tracker on Gumroad: https://soldsplit.gumroad.com/l/paspz")</f>
        <v/>
      </c>
    </row>
    <row r="14" ht="20" customHeight="1">
      <c r="A14" s="94">
        <f>HYPERLINK("https://soldsplit.gumroad.com/l/kttran","Get the Reseller Bundle (Tracker + Tax Records Kit) on Gumroad: https://soldsplit.gumroad.com/l/kttran")</f>
        <v/>
      </c>
    </row>
    <row r="15" ht="20" customHeight="1">
      <c r="A15" s="94">
        <f>HYPERLINK("https://soldsplit.etsy.com","eBay, Poshmark and Whatnot seller tax record kits, in the SoldSplit shop on Etsy: soldsplit.etsy.com")</f>
        <v/>
      </c>
    </row>
    <row r="17" ht="30" customHeight="1">
      <c r="A17" s="95" t="inlineStr">
        <is>
          <t>The Tax Records Kit is a record-keeping tool only, not tax advice. Consult a qualified tax professional. SoldSplit is independent and not affiliated with eBay, Poshmark, Mercari, Whatnot, Depop, Etsy or any marketplace.</t>
        </is>
      </c>
    </row>
  </sheetData>
  <mergeCells count="6">
    <mergeCell ref="A1:D1"/>
    <mergeCell ref="A17:D17"/>
    <mergeCell ref="A15:D15"/>
    <mergeCell ref="A2:D2"/>
    <mergeCell ref="A13:D13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SoldSplit</dc:creator>
  <dc:title xmlns:dc="http://purl.org/dc/elements/1.1/">SoldSplit Quick Profit Check: 25 sales</dc:title>
  <dc:description xmlns:dc="http://purl.org/dc/elements/1.1/">Fee estimates use the Fee Rules tab, copied from soldsplit.com (last checked Oct 21, 2026). Platforms change fees: check soldsplit.com and your platform statement. Estimates only, not financial or tax advice.</dc:description>
  <dc:subject xmlns:dc="http://purl.org/dc/elements/1.1/">Free reseller quick profit check (25 sales)</dc:subject>
  <dcterms:created xmlns:dcterms="http://purl.org/dc/terms/" xmlns:xsi="http://www.w3.org/2001/XMLSchema-instance" xsi:type="dcterms:W3CDTF">2026-10-21T21:16:01Z</dcterms:created>
  <dcterms:modified xmlns:dcterms="http://purl.org/dc/terms/" xmlns:xsi="http://www.w3.org/2001/XMLSchema-instance" xsi:type="dcterms:W3CDTF">2026-10-23T19:47:31Z</dcterms:modified>
  <cp:lastModifiedBy>SoldSplit</cp:lastModifiedBy>
  <cp:keywords>reseller, profit tracker, inventory, eBay, Poshmark, Mercari, Whatnot, Depop, Etsy</cp:keywords>
</cp:coreProperties>
</file>